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scar_galeano\Desktop\"/>
    </mc:Choice>
  </mc:AlternateContent>
  <bookViews>
    <workbookView xWindow="360" yWindow="615" windowWidth="11475" windowHeight="4920" tabRatio="813"/>
  </bookViews>
  <sheets>
    <sheet name="Indice" sheetId="27" r:id="rId1"/>
    <sheet name="Asunción" sheetId="1" r:id="rId2"/>
    <sheet name="Concepción" sheetId="2" r:id="rId3"/>
    <sheet name="San Pedro" sheetId="3" r:id="rId4"/>
    <sheet name="Cordillera" sheetId="4" r:id="rId5"/>
    <sheet name="Guaira " sheetId="5" r:id="rId6"/>
    <sheet name="Caaguazú" sheetId="6" r:id="rId7"/>
    <sheet name="Caazapá" sheetId="10" r:id="rId8"/>
    <sheet name="Itapúa" sheetId="23" r:id="rId9"/>
    <sheet name="Misiones" sheetId="8" r:id="rId10"/>
    <sheet name="Paraguari" sheetId="9" r:id="rId11"/>
    <sheet name="Alto Parana" sheetId="12" r:id="rId12"/>
    <sheet name="Central" sheetId="24" r:id="rId13"/>
    <sheet name="Ñeembucu" sheetId="17" r:id="rId14"/>
    <sheet name="Amambay" sheetId="15" r:id="rId15"/>
    <sheet name="Canindeyu" sheetId="18" r:id="rId16"/>
    <sheet name="Pte. Hayes" sheetId="25" r:id="rId17"/>
    <sheet name="Boquerón" sheetId="22" r:id="rId18"/>
    <sheet name="Alto Paraguay" sheetId="26" r:id="rId19"/>
  </sheets>
  <definedNames>
    <definedName name="_02._10.San_Pablo">'San Pedro'!$A$77</definedName>
    <definedName name="_02.01._San_Pedro_del_Ycuamandyyú">'San Pedro'!$A$7</definedName>
    <definedName name="_02.02._Puerto_Antequera">'San Pedro'!$A$16</definedName>
    <definedName name="_02.03._Chore">'San Pedro'!$A$26</definedName>
    <definedName name="_02.04._Gral_E._Aquino">'San Pedro'!$A$37</definedName>
    <definedName name="_02.05._Itacurubi_del_Rosario">'San Pedro'!$A$48</definedName>
    <definedName name="_02.06._Lima">'San Pedro'!$A$56</definedName>
    <definedName name="_02.07._Nueva_Germania">'San Pedro'!$A$64</definedName>
    <definedName name="_02.08._San_Estanislao">'San Pedro'!$A$98</definedName>
    <definedName name="_02.09._Yrybucua">'San Pedro'!$A$88</definedName>
    <definedName name="_02.10.San_Pablo">'San Pedro'!$A$77</definedName>
    <definedName name="_02.11._Tacuati">'San Pedro'!$A$105</definedName>
    <definedName name="_02.12._Unión">'San Pedro'!$A$116</definedName>
    <definedName name="_02.13._25_de_Diciembre">'San Pedro'!$A$127</definedName>
    <definedName name="_02.14._Villa_del_Rosario">'San Pedro'!$A$143</definedName>
    <definedName name="_02.15._Gral_Francisco_Isodoro_Resquin">'San Pedro'!$A$150</definedName>
    <definedName name="_02.16._Yataity_del_Norte">'San Pedro'!$A$157</definedName>
    <definedName name="_02.17._Guajayvi">'San Pedro'!$A$167</definedName>
    <definedName name="_02.18._Capiirbary">'San Pedro'!$A$177</definedName>
    <definedName name="_02.19._Santa_Rosa_del_Aguaray">'San Pedro'!$A$184</definedName>
    <definedName name="_02.20._Liberación">'San Pedro'!$A$191</definedName>
    <definedName name="_03._01_Caacupe">Cordillera!$A$7</definedName>
    <definedName name="_03._02_Altos">Cordillera!$A$17</definedName>
    <definedName name="_03._03_Arroyos_y_Esteros">Cordillera!$A$24</definedName>
    <definedName name="_03._04_Atyra">Cordillera!$A$32</definedName>
    <definedName name="_03._05_Caraguaty">Cordillera!$A$41</definedName>
    <definedName name="_03._06_Emboscada">Cordillera!$A$46</definedName>
    <definedName name="_03._07_Eusebio_Ayala">Cordillera!$A$58</definedName>
    <definedName name="_03._08_Isla_Pucu">Cordillera!$A$66</definedName>
    <definedName name="_03._09_Itacurubi_de_la_Cordillera">Cordillera!$A$77</definedName>
    <definedName name="_03._10_Juan_de_Mena">Cordillera!$A$85</definedName>
    <definedName name="_03._11_Loma_Grande">Cordillera!$A$92</definedName>
    <definedName name="_03._12_Mbocayaty_del_Yhaguy">Cordillera!$A$100</definedName>
    <definedName name="_03._13_Nueva_Colombia">Cordillera!$A$108</definedName>
    <definedName name="_03._14_Piribebuy">Cordillera!$A$114</definedName>
    <definedName name="_03._15.__1°_de_Marzo">Cordillera!$A$124</definedName>
    <definedName name="_03._16._San_Bernardino">Cordillera!$A$131</definedName>
    <definedName name="_03._17._Santa_Elena">Cordillera!$A$141</definedName>
    <definedName name="_03._18._Tobati">Cordillera!$A$149</definedName>
    <definedName name="_03._19._Valenzuela">Cordillera!$A$159</definedName>
    <definedName name="_03._20._San_José_Obrero">Cordillera!$A$173</definedName>
    <definedName name="_06._01._Caazapa">Caazapá!$A$7</definedName>
    <definedName name="_06._04_Moises_S._Bertoni">Caazapá!$A$29</definedName>
    <definedName name="_06.01._Caazapa">Caazapá!$A$7</definedName>
    <definedName name="_06.01._Caazapá">Caazapá!$A$7</definedName>
    <definedName name="_06.02._Abai">Caazapá!$A$13</definedName>
    <definedName name="_06.03._Buena_Vista">Caazapá!$A$22</definedName>
    <definedName name="_06.05._Gral._Higinio_Morinigo">Caazapá!$A$34</definedName>
    <definedName name="_06.06._Coronel_Maciel">Caazapá!$A$41</definedName>
    <definedName name="_06.07._San_Juan_Nepomuceno">Caazapá!$A$53</definedName>
    <definedName name="_06.08._Tavai">Caazapá!$A$65</definedName>
    <definedName name="_06.09._Fulgencio_Yegros">Caazapá!$A$71</definedName>
    <definedName name="_06.10._Yuty">Caazapá!$A$83</definedName>
    <definedName name="_06.11._3_de_Mayo">Caazapá!$A$92</definedName>
    <definedName name="_07._01._Encarnación">Itapúa!$A$7</definedName>
    <definedName name="_07._02._Bella_Vista">Itapúa!$A$16</definedName>
    <definedName name="_07._03._Cambyreta">Itapúa!$A$28</definedName>
    <definedName name="_07._04._Capitán_Meza">Itapúa!$A$41</definedName>
    <definedName name="_07._05._Capitán_Miranda">Itapúa!$A$53</definedName>
    <definedName name="_07._06.__Nueva_Alborada">Itapúa!$A$69</definedName>
    <definedName name="_07._07._Carmen_del_Paraná">Itapúa!$A$82</definedName>
    <definedName name="_07._08._Coronel_Bogado">Itapúa!$A$93</definedName>
    <definedName name="_07._09._Carlos_Antonio_López">Itapúa!$A$108</definedName>
    <definedName name="_07.10._Natalio">Itapúa!$A$119</definedName>
    <definedName name="_07.11._Fram">Itapúa!$A$130</definedName>
    <definedName name="_07.12._General_Artigas">Itapúa!$A$145</definedName>
    <definedName name="_07.13._General_José_M._Delgado">Itapúa!$A$158</definedName>
    <definedName name="_07.14._Hohenau">Itapúa!$A$170</definedName>
    <definedName name="_07.15._Jesús">Itapúa!$A$180</definedName>
    <definedName name="_07.16._José_Leandro_Oviedo">Itapúa!$A$186</definedName>
    <definedName name="_07.17._Obligado">Itapúa!$A$197</definedName>
    <definedName name="_07.18._Mayor_Julio_D._Otaño">Itapúa!$A$214</definedName>
    <definedName name="_07.19._San_Cosme_y_Damián">Itapúa!$A$222</definedName>
    <definedName name="_07.20._San_Pedro_del_Paraná">Itapúa!$A$233</definedName>
    <definedName name="_07.21._San_Rafael_del_Paraná">Itapúa!$A$245</definedName>
    <definedName name="_07.22._Trinidad">Itapúa!$A$259</definedName>
    <definedName name="_07.23._Edelira">Itapúa!$A$270</definedName>
    <definedName name="_07.24._Tomás_Romero_Pereira">Itapúa!$A$278</definedName>
    <definedName name="_07.25._Alto_Vera">Itapúa!$A$290</definedName>
    <definedName name="_07.26.__La_Paz">Itapúa!$A$298</definedName>
    <definedName name="_07.27._Yatytay">Itapúa!$A$306</definedName>
    <definedName name="_07.28._San_Juan_del_Paraná">Itapúa!$A$314</definedName>
    <definedName name="_07.29._Pirapo">Itapúa!$A$339</definedName>
    <definedName name="_07.30._Itapúa_Poty">Itapúa!$A$360</definedName>
    <definedName name="_08.01._San_Juan_Bautista">Misiones!$A$7</definedName>
    <definedName name="_08.02._Ayolas">Misiones!$A$14</definedName>
    <definedName name="_08.03._San_Ignacio">Misiones!$A$30</definedName>
    <definedName name="_08.04.__San_Miguel">Misiones!$A$36</definedName>
    <definedName name="_08.05._San_Patricio">Misiones!$A$46</definedName>
    <definedName name="_08.06._Santa_Maria_de_Fe">Misiones!$A$56</definedName>
    <definedName name="_08.07._Santa_Rosa_Misiones">Misiones!$A$65</definedName>
    <definedName name="_08.08._Santiago">Misiones!$A$81</definedName>
    <definedName name="_08.09._Villa_Florida">Misiones!$A$91</definedName>
    <definedName name="_08.10._Yabebyry">Misiones!$A$99</definedName>
    <definedName name="_09._Ybycui">Paraguari!$A$151</definedName>
    <definedName name="_09.01._Paraguari">Paraguari!$A$7</definedName>
    <definedName name="_09.02._Acahay">Paraguari!$A$14</definedName>
    <definedName name="_09.03_Caapucú">Paraguari!$A$24</definedName>
    <definedName name="_09.05._Carapeguá">Paraguari!$A$42</definedName>
    <definedName name="_09.06._Escobar">Paraguari!$A$48</definedName>
    <definedName name="_09.07._La_Colmena">Paraguari!$A$63</definedName>
    <definedName name="_09.08_Mbuyapey">Paraguari!$A$72</definedName>
    <definedName name="_09.09._Pirayú">Paraguari!$A$86</definedName>
    <definedName name="_09.10._Quiindy">Paraguari!$A$95</definedName>
    <definedName name="_09.11._Quyquyho">Paraguari!$A$108</definedName>
    <definedName name="_09.12._San_Roque_Gonzalez_de_Santa_Cruz">Paraguari!$A$116</definedName>
    <definedName name="_09.13._Sapucai">Paraguari!$A$124</definedName>
    <definedName name="_09.14._Tebicuarymi">Paraguari!$A$132</definedName>
    <definedName name="_09.15._Yaguarón">Paraguari!$A$137</definedName>
    <definedName name="_09.16._Ybycui">Paraguari!$A$151</definedName>
    <definedName name="_09.17._Ybytymi">Paraguari!$A$159</definedName>
    <definedName name="_10._10._Yguazú">'Alto Parana'!$A$122</definedName>
    <definedName name="_10.01._Ciudad_del_Este">'Alto Parana'!$A$7</definedName>
    <definedName name="_10.02._Presidente_Franco">'Alto Parana'!$A$22</definedName>
    <definedName name="_10.03._Domingo_Martinez_de_Irala">'Alto Parana'!$A$39</definedName>
    <definedName name="_10.04.__Juan_León_Mallorquín">'Alto Parana'!$A$45</definedName>
    <definedName name="_10.05.__Hernandarias">'Alto Parana'!$A$58</definedName>
    <definedName name="_10.06._Santa_Fe_del_Paraná">'Alto Parana'!$A$66</definedName>
    <definedName name="_10.07._Itakyry">'Alto Parana'!$A$85</definedName>
    <definedName name="_10.08._Juan_E._Oleary">'Alto Parana'!$A$98</definedName>
    <definedName name="_10.09._Ñacunday">'Alto Parana'!$A$111</definedName>
    <definedName name="_10.10._Yguazú">'Alto Parana'!$A$122</definedName>
    <definedName name="_10.11._Los_Cedrales">'Alto Parana'!$A$138</definedName>
    <definedName name="_10.12._Minga_Guazú">'Alto Parana'!$A$145</definedName>
    <definedName name="_10.13._San_Cristobal">'Alto Parana'!$A$157</definedName>
    <definedName name="_10.14._Santa_Rita">'Alto Parana'!$A$166</definedName>
    <definedName name="_10.15.__Naranjal">'Alto Parana'!$A$174</definedName>
    <definedName name="_10.16._Santa_Rosa_del_Monday">'Alto Parana'!$A$190</definedName>
    <definedName name="_10.17._Minga_Porá">'Alto Parana'!$A$195</definedName>
    <definedName name="_10.18.__Mbaracayú">'Alto Parana'!$A$203</definedName>
    <definedName name="_10.19.__San_Alberto">'Alto Parana'!$A$225</definedName>
    <definedName name="_10.20._Iruña">'Alto Parana'!$A$232</definedName>
    <definedName name="_10.21._Tavapy">'Alto Parana'!$A$244</definedName>
    <definedName name="_10.22._Dr._Raul_Peña">'Alto Parana'!$A$254</definedName>
    <definedName name="_11.01._Areguá">Central!$A$7</definedName>
    <definedName name="_11.02._Capiatá">Central!$A$17</definedName>
    <definedName name="_11.03._Fernando_de_la_Mora">Central!$A$25</definedName>
    <definedName name="_11.04._Guarambaré">Central!$A$34</definedName>
    <definedName name="_11.05._Itá">Central!$A$49</definedName>
    <definedName name="_11.06._Itauguá">Central!$A$62</definedName>
    <definedName name="_11.07._Lambaré">Central!$A$73</definedName>
    <definedName name="_11.08._Limpio">Central!$A$87</definedName>
    <definedName name="_11.09._Luque">Central!$A$96</definedName>
    <definedName name="_11.10._Mariano_Roque_Alonso">Central!$A$107</definedName>
    <definedName name="_11.11._Nueva_Italia">Central!$A$115</definedName>
    <definedName name="_11.12._Ñemby">Central!$A$124</definedName>
    <definedName name="_11.13._San_Antonio">Central!$A$129</definedName>
    <definedName name="_11.14._San_Lorenzo">Central!$A$135</definedName>
    <definedName name="_11.15._Villa_Elisa">Central!$A$145</definedName>
    <definedName name="_11.16._Villeta">Central!$A$154</definedName>
    <definedName name="_11.17._Ypacarai">Central!$A$167</definedName>
    <definedName name="_11.18._Ypane">Central!$A$177</definedName>
    <definedName name="_11.19._J._Augusto_Saldivar">Central!$A$187</definedName>
    <definedName name="_12.01._Pilar">Ñeembucu!$A$7</definedName>
    <definedName name="_12.02._Alberdi">Ñeembucu!$A$14</definedName>
    <definedName name="_12.03._Cerrito">Ñeembucu!$A$23</definedName>
    <definedName name="_12.04._Desmochados">Ñeembucu!$A$35</definedName>
    <definedName name="_12.05._Gral._José_Eduvigis_Diaz">Ñeembucu!$A$70</definedName>
    <definedName name="_12.06._Guazú_Cuá">Ñeembucu!$A$81</definedName>
    <definedName name="_12.07._Humaita">Ñeembucu!$A$94</definedName>
    <definedName name="_12.08._Isla_Umbu">Ñeembucu!$A$107</definedName>
    <definedName name="_12.09._Laureles">Ñeembucu!$A$122</definedName>
    <definedName name="_12.10._Mayor_Jose_D._Martinez">Ñeembucu!$A$135</definedName>
    <definedName name="_12.11._Paso_de_Patria">Ñeembucu!$A$152</definedName>
    <definedName name="_12.12._San_Juan_Bautista_de_Ñeembucu">Ñeembucu!$A$172</definedName>
    <definedName name="_12.13._Tacuaras">Ñeembucu!$A$182</definedName>
    <definedName name="_12.14._Villa_Franca">Ñeembucu!$A$195</definedName>
    <definedName name="_12.15._Villa_Oliva">Ñeembucu!$A$204</definedName>
    <definedName name="_12.16._Villalbin">Ñeembucu!$A$213</definedName>
    <definedName name="_13.01_Pedro_Juan_Caballero">Amambay!$A$7</definedName>
    <definedName name="_13.02._Bella_Vista">Amambay!$A$16</definedName>
    <definedName name="_13.03._Capitan_Bado">Amambay!$A$23</definedName>
    <definedName name="_13.04._Zanja_Pyta">Amambay!$A$30</definedName>
    <definedName name="_13.05._Karapai">Amambay!$A$39</definedName>
    <definedName name="_14._07.__Ypejhu">Canindeyu!$A$64</definedName>
    <definedName name="_14._07._Ypejhu">Canindeyu!$A$64</definedName>
    <definedName name="_14.01._Saltos_del_Guairá">Canindeyu!$A$7</definedName>
    <definedName name="_14.02._Corpus_Christi">Canindeyu!$A$16</definedName>
    <definedName name="_14.03._Villa_Curuguaty">Canindeyu!$A$23</definedName>
    <definedName name="_14.04._Yasy_Cañy">Canindeyu!$A$36</definedName>
    <definedName name="_14.05._Villa_Ygatimi">Canindeyu!$A$47</definedName>
    <definedName name="_14.06._Itanara">Canindeyu!$A$54</definedName>
    <definedName name="_14.08._Gral_F._Caballero_Alvarez">Canindeyu!$A$76</definedName>
    <definedName name="_14.09._Katuete">Canindeyu!$A$82</definedName>
    <definedName name="_14.10._La_Paloma_del_Espiritu_Santo">Canindeyu!$A$97</definedName>
    <definedName name="_14.11._Nueva_Esperanza">Canindeyu!$A$103</definedName>
    <definedName name="_14.12._Ybyrarobana">Canindeyu!$A$122</definedName>
    <definedName name="_14.13._Yby_Pyta">Canindeyu!$A$130</definedName>
    <definedName name="_15.01._Benjamín_Aceval">'Pte. Hayes'!$A$7</definedName>
    <definedName name="_15.02._Puerto_Pinasco">'Pte. Hayes'!$A$16</definedName>
    <definedName name="_15.03._Villa_Hayes">'Pte. Hayes'!$A$23</definedName>
    <definedName name="_15.04._Nanawa">'Pte. Hayes'!$A$31</definedName>
    <definedName name="_15.05._José_Falcón">'Pte. Hayes'!$A$54</definedName>
    <definedName name="_15.06.__Tte._1°_Manuel_Irala_Fernández">'Pte. Hayes'!$A$65</definedName>
    <definedName name="_15.07._Tte._Esteban_Martínez">'Pte. Hayes'!$A$72</definedName>
    <definedName name="_15.08._Gral._José_María_Bruguez">'Pte. Hayes'!$A$82</definedName>
    <definedName name="_16.01._Mcal._José_Felix_Estigarribia">Boquerón!$A$7</definedName>
    <definedName name="_16.02._Filadelfia">Boquerón!$A$14</definedName>
    <definedName name="_16.03._Loma_Plata">Boquerón!$A$30</definedName>
    <definedName name="_17.01._Fuerte_Olimpo">'Alto Paraguay'!$A$7</definedName>
    <definedName name="_17.02._Puerto_Casado">'Alto Paraguay'!$A$19</definedName>
    <definedName name="_17.03._Bahía_Negra">'Alto Paraguay'!$A$29</definedName>
    <definedName name="_17.04._Carmelo_Peralta">'Alto Paraguay'!$A$36</definedName>
    <definedName name="_4.01_Villarrica">'Guaira '!$A$7</definedName>
    <definedName name="_4.02._Borja">'Guaira '!$A$14</definedName>
    <definedName name="_4.03.__Mauiricio_Jose_Troche">'Guaira '!$A$27</definedName>
    <definedName name="_4.04._Coronel_Martinez">'Guaira '!$A$35</definedName>
    <definedName name="_4.05._Felix_Perez_Cardozo">'Guaira '!$A$40</definedName>
    <definedName name="_4.06.__Gral._Eugenio_A._Garay">'Guaira '!$A$50</definedName>
    <definedName name="_4.07.__Independencia">'Guaira '!$A$57</definedName>
    <definedName name="_4.08._Itape">'Guaira '!$A$70</definedName>
    <definedName name="_4.09._Iturbe">'Guaira '!$A$79</definedName>
    <definedName name="_4.10._Jose_Fassadi">'Guaira '!$A$86</definedName>
    <definedName name="_4.11._Mbocayaty">'Guaira '!$A$92</definedName>
    <definedName name="_4.12.__Natalicio_Talavera">'Guaira '!$A$100</definedName>
    <definedName name="_4.13.__Ñumi">'Guaira '!$A$109</definedName>
    <definedName name="_4.14._San_Salvador">'Guaira '!$A$117</definedName>
    <definedName name="_4.15._Yataity_del_Guaira">'Guaira '!$A$124</definedName>
    <definedName name="_4.16._Dr._Bottrell">'Guaira '!$A$132</definedName>
    <definedName name="_4.17._Paso_Yobai">'Guaira '!$A$139</definedName>
    <definedName name="_4.18._Tebicuary">'Guaira '!$A$147</definedName>
    <definedName name="_4.8._Itape">'Guaira '!$A$70</definedName>
    <definedName name="_5._02._Caaguazu">Caaguazú!$A$20</definedName>
    <definedName name="_5.01._Coronel_Oviedo">Caaguazú!$A$7</definedName>
    <definedName name="_5.03._Carayao">Caaguazú!$A$31</definedName>
    <definedName name="_5.04._Dc._Cecilio_Baez">Caaguazú!$A$41</definedName>
    <definedName name="_5.05._Santa_Rosa_del_Mbutuy">Caaguazú!$A$50</definedName>
    <definedName name="_5.06.__Juan_Manuel_Frutos">Caaguazú!$A$65</definedName>
    <definedName name="_5.07._Repatriación">Caaguazú!$A$72</definedName>
    <definedName name="_5.08__Nueva_Londres">Caaguazú!$A$88</definedName>
    <definedName name="_5.09._San_Joaquin">Caaguazú!$A$95</definedName>
    <definedName name="_5.10._San_José_de_los_Arroyos">Caaguazú!$A$106</definedName>
    <definedName name="_5.11._Yhu">Caaguazú!$A$118</definedName>
    <definedName name="_5.12._Juan_Eulogio_Estigarribia">Caaguazú!$A$130</definedName>
    <definedName name="_5.13.__R.I._3_Corrales">Caaguazú!$A$137</definedName>
    <definedName name="_5.14._Raul_Arsenio_Oviedo">Caaguazú!$A$144</definedName>
    <definedName name="_5.15._Jose_Domingo_Ocampos">Caaguazú!$A$151</definedName>
    <definedName name="_5.16.__Mcal_Francisco_Solano_Lopez">Caaguazú!$A$162</definedName>
    <definedName name="_5.17._La_Pastora">Caaguazú!$A$171</definedName>
    <definedName name="_5.18.__3_de_Febrero">Caaguazú!$A$180</definedName>
    <definedName name="_5.19._Simon_Bolivar">Caaguazú!$A$186</definedName>
    <definedName name="_5.20._Vaqueria">Caaguazú!$A$200</definedName>
    <definedName name="_5.21._Tembiapora">Caaguazú!$A$214</definedName>
    <definedName name="_5.22._Nueva_Toledo">Caaguazú!$A$223</definedName>
    <definedName name="_6.01._Caazapá">Caazapá!$A$7</definedName>
    <definedName name="_6.02._Abai">Caazapá!$A$13</definedName>
    <definedName name="_6.03._Buena_Vista">Caazapá!$A$22</definedName>
    <definedName name="_7.18._Mayor_Julio_D._Otaño">Itapúa!$A$214</definedName>
    <definedName name="_7.19._San_Cosme_y_Damián">Itapúa!$A$222</definedName>
    <definedName name="_9.04._Gral._B._Caballero">Paraguari!$A$35</definedName>
    <definedName name="_xlnm.Print_Area" localSheetId="1">Asunción!$A$1:$M$31</definedName>
    <definedName name="_xlnm.Print_Area" localSheetId="8">Itapúa!$A$5:$M$8</definedName>
    <definedName name="ASUNCIÓN" localSheetId="1">Indice!$A$10</definedName>
    <definedName name="AZOTE__Y" localSheetId="2">Indice!$A$19</definedName>
    <definedName name="BELÉN" localSheetId="2">Indice!$A$13</definedName>
    <definedName name="CONCEPCIÓN" localSheetId="2">Indice!$A$12</definedName>
    <definedName name="HORQUETA" localSheetId="2">Indice!$A$14</definedName>
    <definedName name="LORETO" localSheetId="2">Indice!$A$15</definedName>
    <definedName name="PASO_BARRETO" localSheetId="2">Indice!$A$21</definedName>
    <definedName name="SAN_ALFREDO" localSheetId="2">Indice!$A$22</definedName>
    <definedName name="SAN_CARLOS_DEL_APA" localSheetId="2">Indice!$A$18</definedName>
    <definedName name="SAN_COSME_Y_DAMIÁN">Indice!$G$28</definedName>
    <definedName name="SAN_LÁZARO" localSheetId="2">Indice!$A$16</definedName>
    <definedName name="SARGENTO_JOSE_FELIX_LOPEZ" localSheetId="2">Indice!$A$20</definedName>
    <definedName name="YBY_YAÚ" localSheetId="2">Indice!$A$17</definedName>
  </definedNames>
  <calcPr calcId="152511"/>
</workbook>
</file>

<file path=xl/calcChain.xml><?xml version="1.0" encoding="utf-8"?>
<calcChain xmlns="http://schemas.openxmlformats.org/spreadsheetml/2006/main">
  <c r="I98" i="3" l="1"/>
  <c r="H98" i="3"/>
  <c r="I84" i="3"/>
  <c r="I82" i="3"/>
  <c r="I81" i="3"/>
  <c r="H81" i="3"/>
  <c r="H77" i="3"/>
  <c r="L158" i="3" l="1"/>
  <c r="I157" i="3"/>
  <c r="H95" i="2" l="1"/>
  <c r="H93" i="2"/>
  <c r="M89" i="2"/>
  <c r="L89" i="2"/>
  <c r="H87" i="2"/>
  <c r="I85" i="2"/>
  <c r="M63" i="2"/>
  <c r="L63" i="2"/>
  <c r="I62" i="2"/>
  <c r="H62" i="2"/>
  <c r="H42" i="2"/>
  <c r="M40" i="2"/>
  <c r="I34" i="2"/>
  <c r="H34" i="2"/>
  <c r="I33" i="2"/>
  <c r="H33" i="2"/>
  <c r="I31" i="2"/>
  <c r="H31" i="2"/>
  <c r="H30" i="2"/>
  <c r="I39" i="26" l="1"/>
  <c r="I37" i="26"/>
  <c r="I31" i="26"/>
  <c r="I30" i="26"/>
  <c r="I89" i="25"/>
  <c r="I88" i="25"/>
  <c r="H87" i="25"/>
  <c r="I87" i="25" s="1"/>
  <c r="I86" i="25"/>
  <c r="I85" i="25"/>
  <c r="I84" i="25"/>
  <c r="H83" i="25"/>
  <c r="H58" i="25"/>
  <c r="M23" i="25"/>
  <c r="I23" i="25"/>
  <c r="H23" i="25"/>
  <c r="I192" i="24"/>
  <c r="I189" i="24"/>
  <c r="H182" i="24"/>
  <c r="H180" i="24"/>
  <c r="I170" i="24"/>
  <c r="H170" i="24"/>
  <c r="I169" i="24"/>
  <c r="I168" i="24"/>
  <c r="I167" i="24"/>
  <c r="I161" i="24"/>
  <c r="I160" i="24"/>
  <c r="I158" i="24"/>
  <c r="I155" i="24"/>
  <c r="H148" i="24"/>
  <c r="I146" i="24"/>
  <c r="H146" i="24"/>
  <c r="I145" i="24"/>
  <c r="H139" i="24"/>
  <c r="H138" i="24"/>
  <c r="H135" i="24"/>
  <c r="H118" i="24"/>
  <c r="H99" i="24"/>
  <c r="H98" i="24"/>
  <c r="I68" i="24"/>
  <c r="H68" i="24"/>
  <c r="I64" i="24"/>
  <c r="H64" i="24"/>
  <c r="H39" i="24"/>
  <c r="I38" i="24"/>
  <c r="H38" i="24"/>
  <c r="I18" i="24"/>
  <c r="H18" i="24"/>
  <c r="I12" i="24"/>
  <c r="I11" i="24"/>
  <c r="I10" i="24"/>
  <c r="I9" i="24"/>
  <c r="H9" i="24"/>
  <c r="I363" i="23"/>
  <c r="H363" i="23"/>
  <c r="I361" i="23"/>
  <c r="H328" i="23"/>
  <c r="I308" i="23"/>
  <c r="H293" i="23"/>
  <c r="I292" i="23"/>
  <c r="H292" i="23"/>
  <c r="I291" i="23"/>
  <c r="H291" i="23"/>
  <c r="I290" i="23"/>
  <c r="I284" i="23"/>
  <c r="I283" i="23"/>
  <c r="I282" i="23"/>
  <c r="H282" i="23"/>
  <c r="I281" i="23"/>
  <c r="H281" i="23"/>
  <c r="I280" i="23"/>
  <c r="I278" i="23"/>
  <c r="I253" i="23"/>
  <c r="H253" i="23"/>
  <c r="I252" i="23"/>
  <c r="H252" i="23"/>
  <c r="I248" i="23"/>
  <c r="H248" i="23"/>
  <c r="I247" i="23"/>
  <c r="I246" i="23"/>
  <c r="H245" i="23"/>
  <c r="I239" i="23"/>
  <c r="H239" i="23"/>
  <c r="H238" i="23"/>
  <c r="H237" i="23"/>
  <c r="I236" i="23"/>
  <c r="H236" i="23"/>
  <c r="H235" i="23"/>
  <c r="I234" i="23"/>
  <c r="H234" i="23"/>
  <c r="I224" i="23"/>
  <c r="I223" i="23"/>
  <c r="H218" i="23"/>
  <c r="I215" i="23"/>
  <c r="H215" i="23"/>
  <c r="I208" i="23"/>
  <c r="I206" i="23"/>
  <c r="I205" i="23"/>
  <c r="I204" i="23"/>
  <c r="H191" i="23"/>
  <c r="I190" i="23"/>
  <c r="H190" i="23"/>
  <c r="H189" i="23"/>
  <c r="I188" i="23"/>
  <c r="H188" i="23"/>
  <c r="I187" i="23"/>
  <c r="H187" i="23"/>
  <c r="H163" i="23"/>
  <c r="I162" i="23"/>
  <c r="H161" i="23"/>
  <c r="H154" i="23"/>
  <c r="H153" i="23"/>
  <c r="I152" i="23"/>
  <c r="H152" i="23"/>
  <c r="H151" i="23"/>
  <c r="H148" i="23"/>
  <c r="H147" i="23"/>
  <c r="I146" i="23"/>
  <c r="H146" i="23"/>
  <c r="I145" i="23"/>
  <c r="H145" i="23"/>
  <c r="I141" i="23"/>
  <c r="H139" i="23"/>
  <c r="H138" i="23"/>
  <c r="H136" i="23"/>
  <c r="I133" i="23"/>
  <c r="H133" i="23"/>
  <c r="I126" i="23"/>
  <c r="H125" i="23"/>
  <c r="H124" i="23"/>
  <c r="H123" i="23"/>
  <c r="I122" i="23"/>
  <c r="H122" i="23"/>
  <c r="I121" i="23"/>
  <c r="H121" i="23"/>
  <c r="I120" i="23"/>
  <c r="H120" i="23"/>
  <c r="I119" i="23"/>
  <c r="H77" i="23"/>
  <c r="H76" i="23"/>
  <c r="I75" i="23"/>
  <c r="H73" i="23"/>
  <c r="I55" i="23"/>
  <c r="H55" i="23"/>
  <c r="I34" i="23"/>
  <c r="I32" i="23"/>
  <c r="I31" i="23"/>
  <c r="H10" i="23"/>
  <c r="M7" i="23"/>
  <c r="I7" i="23"/>
  <c r="H7" i="23"/>
  <c r="H17" i="22" l="1"/>
  <c r="H70" i="18" l="1"/>
  <c r="I69" i="18"/>
  <c r="I68" i="18"/>
  <c r="I67" i="18"/>
  <c r="I65" i="18"/>
  <c r="H37" i="18"/>
  <c r="I11" i="18"/>
  <c r="I10" i="18"/>
  <c r="I9" i="18"/>
  <c r="I8" i="18"/>
  <c r="H136" i="17" l="1"/>
  <c r="I155" i="17"/>
  <c r="H159" i="17"/>
  <c r="I163" i="17"/>
  <c r="H174" i="17"/>
  <c r="H182" i="17"/>
  <c r="I182" i="17"/>
  <c r="H191" i="17"/>
  <c r="I191" i="17"/>
  <c r="I196" i="17"/>
  <c r="I198" i="17"/>
  <c r="I199" i="17"/>
  <c r="H200" i="17"/>
  <c r="H109" i="17"/>
  <c r="H108" i="17"/>
  <c r="I85" i="17"/>
  <c r="H85" i="17"/>
  <c r="I84" i="17"/>
  <c r="I83" i="17"/>
  <c r="I33" i="15" l="1"/>
  <c r="H33" i="15"/>
  <c r="H31" i="15" s="1"/>
  <c r="I31" i="15"/>
  <c r="H256" i="12" l="1"/>
  <c r="H255" i="12"/>
  <c r="I254" i="12"/>
  <c r="H235" i="12"/>
  <c r="I234" i="12"/>
  <c r="H234" i="12"/>
  <c r="H227" i="12"/>
  <c r="H226" i="12"/>
  <c r="H199" i="12"/>
  <c r="I197" i="12"/>
  <c r="H197" i="12"/>
  <c r="H179" i="12"/>
  <c r="I178" i="12"/>
  <c r="I177" i="12"/>
  <c r="H177" i="12"/>
  <c r="I175" i="12"/>
  <c r="I174" i="12"/>
  <c r="I170" i="12"/>
  <c r="I169" i="12"/>
  <c r="H169" i="12"/>
  <c r="I168" i="12"/>
  <c r="H168" i="12"/>
  <c r="I167" i="12"/>
  <c r="H159" i="12"/>
  <c r="I158" i="12"/>
  <c r="H151" i="12"/>
  <c r="H150" i="12"/>
  <c r="H146" i="12"/>
  <c r="I141" i="12"/>
  <c r="I140" i="12"/>
  <c r="I139" i="12"/>
  <c r="H130" i="12"/>
  <c r="H127" i="12"/>
  <c r="I123" i="12"/>
  <c r="H123" i="12"/>
  <c r="H115" i="12"/>
  <c r="I113" i="12"/>
  <c r="I106" i="12"/>
  <c r="I105" i="12"/>
  <c r="I104" i="12"/>
  <c r="H103" i="12"/>
  <c r="L94" i="12"/>
  <c r="I94" i="12"/>
  <c r="L93" i="12"/>
  <c r="I93" i="12"/>
  <c r="H91" i="12"/>
  <c r="I87" i="12"/>
  <c r="H76" i="12"/>
  <c r="I67" i="12"/>
  <c r="H66" i="12"/>
  <c r="H60" i="12" l="1"/>
  <c r="H54" i="12"/>
  <c r="I34" i="12"/>
  <c r="H34" i="12"/>
  <c r="H33" i="12"/>
  <c r="H22" i="12"/>
  <c r="H16" i="12"/>
  <c r="H13" i="12"/>
  <c r="H14" i="12" s="1"/>
  <c r="I12" i="12"/>
  <c r="H10" i="12"/>
  <c r="H9" i="12"/>
  <c r="I7" i="12"/>
  <c r="M145" i="9" l="1"/>
  <c r="H141" i="9"/>
  <c r="H140" i="9"/>
  <c r="H139" i="9"/>
  <c r="I120" i="9" l="1"/>
  <c r="I119" i="9"/>
  <c r="I116" i="9"/>
  <c r="H78" i="9"/>
  <c r="H74" i="9"/>
  <c r="H26" i="9"/>
  <c r="H87" i="10" l="1"/>
  <c r="H86" i="10"/>
  <c r="I84" i="10"/>
  <c r="H84" i="10"/>
  <c r="H74" i="10"/>
  <c r="I55" i="10"/>
  <c r="H55" i="10"/>
  <c r="H53" i="10"/>
  <c r="H44" i="10"/>
  <c r="H43" i="10"/>
  <c r="I16" i="10"/>
  <c r="H16" i="10"/>
  <c r="I95" i="8" l="1"/>
  <c r="I93" i="8"/>
  <c r="H93" i="8"/>
  <c r="H59" i="8"/>
  <c r="H51" i="8"/>
  <c r="I47" i="8"/>
  <c r="H47" i="8"/>
  <c r="I42" i="8"/>
  <c r="H41" i="8"/>
  <c r="I41" i="8" s="1"/>
  <c r="I40" i="8"/>
  <c r="I38" i="8"/>
  <c r="I37" i="8"/>
  <c r="H37" i="8"/>
  <c r="I32" i="8"/>
  <c r="H32" i="8"/>
  <c r="I31" i="8"/>
  <c r="H31" i="8"/>
  <c r="I26" i="8"/>
  <c r="H26" i="8"/>
  <c r="I25" i="8"/>
  <c r="H25" i="8"/>
  <c r="I24" i="8"/>
  <c r="H24" i="8"/>
  <c r="H23" i="8"/>
  <c r="H22" i="8"/>
  <c r="I21" i="8"/>
  <c r="H21" i="8"/>
  <c r="I20" i="8"/>
  <c r="H20" i="8"/>
  <c r="H17" i="8"/>
  <c r="H16" i="8"/>
  <c r="I15" i="8"/>
  <c r="H15" i="8"/>
  <c r="I10" i="8"/>
  <c r="H10" i="8"/>
  <c r="H9" i="8"/>
  <c r="I225" i="6" l="1"/>
  <c r="I224" i="6"/>
  <c r="I223" i="6"/>
  <c r="H163" i="6" l="1"/>
  <c r="I138" i="6"/>
  <c r="H138" i="6"/>
  <c r="I91" i="6"/>
  <c r="I90" i="6"/>
  <c r="H89" i="6"/>
  <c r="I82" i="6"/>
  <c r="I81" i="6"/>
  <c r="I75" i="6"/>
  <c r="H75" i="6"/>
  <c r="I72" i="6"/>
  <c r="H72" i="6"/>
  <c r="L66" i="6"/>
  <c r="L65" i="6"/>
  <c r="H60" i="6"/>
  <c r="H58" i="6"/>
  <c r="H55" i="6"/>
  <c r="I51" i="6"/>
  <c r="H51" i="6"/>
  <c r="I135" i="5"/>
  <c r="I44" i="5"/>
  <c r="H44" i="5"/>
  <c r="H8" i="5"/>
  <c r="H7" i="5"/>
  <c r="H165" i="4"/>
  <c r="I152" i="4"/>
  <c r="H150" i="4"/>
  <c r="H142" i="4"/>
  <c r="H141" i="4"/>
  <c r="H86" i="4"/>
  <c r="I79" i="4"/>
  <c r="H79" i="4"/>
  <c r="H78" i="4"/>
  <c r="I61" i="4"/>
  <c r="H61" i="4"/>
  <c r="H59" i="4"/>
  <c r="H58" i="4"/>
  <c r="H9" i="3"/>
  <c r="I9" i="3"/>
  <c r="H11" i="3"/>
  <c r="I11" i="3"/>
  <c r="H17" i="3"/>
  <c r="I17" i="3"/>
  <c r="H18" i="3"/>
  <c r="I18" i="3"/>
  <c r="H19" i="3"/>
  <c r="I19" i="3"/>
  <c r="I20" i="3"/>
  <c r="I21" i="3"/>
  <c r="H22" i="3"/>
  <c r="I22" i="3"/>
  <c r="I48" i="3"/>
  <c r="I49" i="3"/>
  <c r="I50" i="3"/>
  <c r="I52" i="3"/>
  <c r="H58" i="3"/>
  <c r="I58" i="3"/>
  <c r="H105" i="3"/>
  <c r="L106" i="3" s="1"/>
  <c r="H111" i="3"/>
  <c r="I128" i="3"/>
  <c r="I131" i="3"/>
  <c r="H132" i="3"/>
  <c r="H133" i="3"/>
  <c r="I134" i="3"/>
  <c r="H159" i="3"/>
  <c r="I159" i="3"/>
  <c r="H160" i="3"/>
  <c r="I160" i="3"/>
  <c r="H161" i="3"/>
  <c r="I162" i="3"/>
  <c r="L192" i="3"/>
  <c r="H151" i="4" l="1"/>
  <c r="H128" i="3"/>
</calcChain>
</file>

<file path=xl/sharedStrings.xml><?xml version="1.0" encoding="utf-8"?>
<sst xmlns="http://schemas.openxmlformats.org/spreadsheetml/2006/main" count="12763" uniqueCount="2573">
  <si>
    <t>Municipalidad</t>
  </si>
  <si>
    <t>Departamento</t>
  </si>
  <si>
    <t>Presupuesto Asignado</t>
  </si>
  <si>
    <t>Ejecución Financiera</t>
  </si>
  <si>
    <t>TP</t>
  </si>
  <si>
    <t>FF</t>
  </si>
  <si>
    <t>OF</t>
  </si>
  <si>
    <t>OG</t>
  </si>
  <si>
    <t>Descripción</t>
  </si>
  <si>
    <t>Unidad de Medida</t>
  </si>
  <si>
    <t>Construcciones</t>
  </si>
  <si>
    <t>m2</t>
  </si>
  <si>
    <t>m3</t>
  </si>
  <si>
    <t>Obras</t>
  </si>
  <si>
    <t>Plazas</t>
  </si>
  <si>
    <t>Obra</t>
  </si>
  <si>
    <t>Deudas</t>
  </si>
  <si>
    <t>Unidades</t>
  </si>
  <si>
    <t>Almuerzo Escolar</t>
  </si>
  <si>
    <t>2583 Alumnos de la Educación Inicial y Educación Escolar Básica del 1° y 2° que recibirán almuerzo escolar, en el año 2,016</t>
  </si>
  <si>
    <t>Alumnos</t>
  </si>
  <si>
    <t>Construcción de 19 aulas en 4 locales escolares</t>
  </si>
  <si>
    <t xml:space="preserve">Aulas                         </t>
  </si>
  <si>
    <t>Construcción de 39 aulas en 4 locales escolares</t>
  </si>
  <si>
    <t>Construcción de 32 sanitarios en 4 locales escolares</t>
  </si>
  <si>
    <t>Sanitarios</t>
  </si>
  <si>
    <t>Construcción de 25 sanitarios  en 4 Locales escolares</t>
  </si>
  <si>
    <t>Construcción de 3 comedores  en 4 Locales escolares</t>
  </si>
  <si>
    <t>Comedor</t>
  </si>
  <si>
    <t>Construcción de 1 Polideportivo en 4 Locales Escolares</t>
  </si>
  <si>
    <t>Polideportivo</t>
  </si>
  <si>
    <t>Construcción de Obras de Infraestructura (Canal de desague, camineros, rampas, obras exteriores en general)</t>
  </si>
  <si>
    <t>Construcción de 2 aulas en 2 locales escolares</t>
  </si>
  <si>
    <t>Reparación de 25 aulas en 2 locales escolares</t>
  </si>
  <si>
    <t>Construcción de 11 sanitarios en 2 locales escolares</t>
  </si>
  <si>
    <t>Reparación de 16 sanitarios en 2 locales escolares</t>
  </si>
  <si>
    <t>Construcción de 47 aulas en 11 locales escolares</t>
  </si>
  <si>
    <t>Reparación de 203 aulas en 11 locales escolares</t>
  </si>
  <si>
    <t>Construcción de 81 sanitarios en 11 locales escolares</t>
  </si>
  <si>
    <t>Reparación de 112 sanitarios en 11 locales escolares</t>
  </si>
  <si>
    <t>Construcción de 9 comedores en 11 locales escolares</t>
  </si>
  <si>
    <t>Construcción de 1 Polideportivo 11 locales escolares</t>
  </si>
  <si>
    <t>Equipamiento en las Instituciones Publicas</t>
  </si>
  <si>
    <t>1.740 Pupitres, según planificación municipal 2016</t>
  </si>
  <si>
    <t>Pupitres</t>
  </si>
  <si>
    <t>1.870 sillas según planificación municipal 2016</t>
  </si>
  <si>
    <t>Sillas</t>
  </si>
  <si>
    <t>486 Mobiliarios para 3 Instituciones Educativas según planificación municipal 2016</t>
  </si>
  <si>
    <t>Mobiliario</t>
  </si>
  <si>
    <t>397 Mobiliario para 3 Instituciones  según planificación municipal 2016</t>
  </si>
  <si>
    <t xml:space="preserve">Unidades </t>
  </si>
  <si>
    <t>ml</t>
  </si>
  <si>
    <t>Reparaciones</t>
  </si>
  <si>
    <t>Proyectos de Infraestructura en Educación</t>
  </si>
  <si>
    <t>Construcción de 21 aulas con techo de tejas en varias Escuelas,  conforme especificaciones técnicas del MEC</t>
  </si>
  <si>
    <t>Aulas</t>
  </si>
  <si>
    <t>Reparación de 11 aulas en varias Escuelas,  conforme especificaciones técnicas del MEC</t>
  </si>
  <si>
    <t>Construcción de 06 baños sexados en escuelas del municipio, conforme especificaciones técnicas del MEC.</t>
  </si>
  <si>
    <t>Reparación de 04 baño sexado en escuela del municipio, conforme especificaciones técnicas del MEC.</t>
  </si>
  <si>
    <t>Construcción de 01 cocina-comedor en escuelas del municipio, conforme especificaciones técnicas del MEC.</t>
  </si>
  <si>
    <t>Cocina-Comedor</t>
  </si>
  <si>
    <t>Construcción de 01 desagues pluviales en escuelas del municipio, conforme especificaciones técnicas del MEC.</t>
  </si>
  <si>
    <t>Adquisición de sillas escolares para varias instituciones educativas del Distrito de Concepción</t>
  </si>
  <si>
    <t>Adquisición de mesa pupitres escolares para varias instituciones educativas del Distrito de Concepción</t>
  </si>
  <si>
    <t>Adquisición de escritorios para profesores para varias instituciones educativas del Distrito de Concepción</t>
  </si>
  <si>
    <t>Adquisición de armarios escolares para varias instituciones educativas del Distrito de Concepción</t>
  </si>
  <si>
    <t>Armarios</t>
  </si>
  <si>
    <t>Adquisición de mesa de madera c/ caballete para varias instituciones educativas del Distrito de Concepción</t>
  </si>
  <si>
    <t>Kilometros</t>
  </si>
  <si>
    <t>Mantenimientos</t>
  </si>
  <si>
    <t>Servicios Técnicos y Profesionales</t>
  </si>
  <si>
    <t>Kilómetros</t>
  </si>
  <si>
    <t>Proyectos</t>
  </si>
  <si>
    <t>Deuda</t>
  </si>
  <si>
    <t>298 alumnos de la Educación Inicial y Educación Escolar Básica del 1° y 2° que recibirán almuerzo escolar, según Presupuesto Municipal del año 2016</t>
  </si>
  <si>
    <t>Raciones</t>
  </si>
  <si>
    <t>Construcción de 3 aulas nuevas, según Planificación Municipal 2016</t>
  </si>
  <si>
    <t>10  Refacción de Pabellon completo  , según Planificación Municipal 2016</t>
  </si>
  <si>
    <t>Adquisición de 10 computadora  para los Directores de Escuela  y pupitres , pizarrones, escritorio y otros muebles; según Presupuesto Municipal año 2016</t>
  </si>
  <si>
    <t>1.03. Horqueta</t>
  </si>
  <si>
    <t xml:space="preserve">m2 </t>
  </si>
  <si>
    <t xml:space="preserve">Obras </t>
  </si>
  <si>
    <t>km</t>
  </si>
  <si>
    <t xml:space="preserve">Obra </t>
  </si>
  <si>
    <t>Unidad</t>
  </si>
  <si>
    <t xml:space="preserve">Proyectos </t>
  </si>
  <si>
    <t>2,500 alumnos de la Educación Inicial y Educación Escolar Básica del 1° y 2° que recibirán almuerzo escolar, según Presupuesto Municipal del año 2016 de 14 escuelas</t>
  </si>
  <si>
    <t>4 aulas a construir en Escuelas planificados para el año 2016</t>
  </si>
  <si>
    <t>6 (seis) sanitarios a construir en Escuelas planificados para el año 2016</t>
  </si>
  <si>
    <t>4 Refacciones de Varias Escuelas del Distrito, planificadas  para el año 2016</t>
  </si>
  <si>
    <t>Proyectos de Inversión Pública y de Desarrollo</t>
  </si>
  <si>
    <t>5000  m2 Construcciòn de empedrado del 20%  en diferentes barrios de la ciudad de  Horqueta, planificado para el año 2016</t>
  </si>
  <si>
    <t>Adquisición de Equipos de Oficina</t>
  </si>
  <si>
    <t>Adquisiciòn de 100 sillas pupitres para alumnos y profesores planificado para el año 2016</t>
  </si>
  <si>
    <t>1.04. Loreto</t>
  </si>
  <si>
    <t>mts2</t>
  </si>
  <si>
    <t>Sanitario</t>
  </si>
  <si>
    <t>398 alumnos de la Educación Inicial y Educación Escolar Básica del 1° y 2° ciclo que recibirán almuerzo escolar, según Presupuesto Municipal del año 2016</t>
  </si>
  <si>
    <t>46.330 raciones para 398 alumnos de la Educación Inicial y Educación Escolar Básica del 1° y 2° ciclo, según Presupuesto Municipal del año 2016</t>
  </si>
  <si>
    <t>Construcción de  1133 Metros cuadrados de  pavimento tipo Hº Aº, según Planificación Municipal 2016</t>
  </si>
  <si>
    <t>Reparación y remodelación de 9 Aulas en centros educativos, según Planificación Municipal 2016</t>
  </si>
  <si>
    <t>Reparación y remodelación de 2 Sanitarios en centros educativos, según Planificación Municipal 2016</t>
  </si>
  <si>
    <t xml:space="preserve"> Construcción de 2 sanitarios en centro educativos, según Planificación Municipal 2016</t>
  </si>
  <si>
    <t xml:space="preserve">Sanitarios </t>
  </si>
  <si>
    <t xml:space="preserve"> Construcción de 1 aula en centro educativos, según Planificación Municipal 2016</t>
  </si>
  <si>
    <t>Equipamiento en las Instituciones Públicas</t>
  </si>
  <si>
    <t xml:space="preserve">268 Sillas con Mesas a ser entregadas a centros educativos, según Planificación Municipal 2016
</t>
  </si>
  <si>
    <t>Sillas con Mesas</t>
  </si>
  <si>
    <t>Km</t>
  </si>
  <si>
    <t>493 alumnos/as de la Educación Inicial y Educación Escolar Básica del 1° y 2 ciclo, matriculados en el año 2016, según datos del MEC del año 2016</t>
  </si>
  <si>
    <t>1  plaza a ser construidas, remodeladas, refaccionadas y ampliadas en el Municipio de San Lázaro, según Planificación Municipal 2016</t>
  </si>
  <si>
    <t>2 Aulas a ser construidas en centros educativos, según Planificación Municipal 2016</t>
  </si>
  <si>
    <t>10 Equipos de Computacion a ser adquiridos para los  centros educativos, según Planificación Municipal 2016</t>
  </si>
  <si>
    <t>600 alumnos de la educacion inicial y educacion escolar basica del 1° y 2° que recibiran almuerzo escolar según planificacion municipal del año 2016</t>
  </si>
  <si>
    <t xml:space="preserve">Alumnos </t>
  </si>
  <si>
    <t>Construcción de 10 aulas según presupuesto municipal 2016</t>
  </si>
  <si>
    <t>01. Concepcion</t>
  </si>
  <si>
    <t>1.07. San Carlos del Apa</t>
  </si>
  <si>
    <t>Puente</t>
  </si>
  <si>
    <t>200 alumnos de la Educación Inicial y Educación Escolar Básica del 1° y 2° que reciben almuerzo escolar, según presupuesto municipal 2016.</t>
  </si>
  <si>
    <t>35.700 raciones de almuerzo escolar, según presupuesto municipal 2016.</t>
  </si>
  <si>
    <t xml:space="preserve"> 1 Obra de construcción de 3 aulas, 1 salón audiovisual y sanitarios en Esca. Básica 521 Mcal. Estigarribia, según presupuesto municipal 2016.</t>
  </si>
  <si>
    <t>1 Obra de construcción de muralla, desague fluvial, relleno, compactación y nivelación en Esc. Mcal. Estigarribia, según presupuesto municipal 2016.</t>
  </si>
  <si>
    <t>-</t>
  </si>
  <si>
    <t>Metros Cuadrados</t>
  </si>
  <si>
    <t>405 (Cuatrocientos cinco) alumnos de 4 Escuelas del Distrito reciben almuerzo escolar según Planificación Municipal 2.016.</t>
  </si>
  <si>
    <t>10 (diez) Aulas a ser  Construidas  en el Distrito en el Ejercicio 2.016.</t>
  </si>
  <si>
    <t>Elaboración de 3 (Tres) Estudios y Proyectos de Inversión para la elaboración de Proyectos de Interés Comunitarios a ser desarrollados en el Ejercicio 2.015 en Centros Educativos y área de influencia.</t>
  </si>
  <si>
    <t xml:space="preserve">Reparaciones </t>
  </si>
  <si>
    <t>440 alumnos de la Educación Inicial y Educación Escolar Básica del 1° y 2° que recibirán almuerzo escolar, según Presupuesto Municipal del año 2016</t>
  </si>
  <si>
    <t>Construcción de 7 aulas nuevas, según Planificación Municipal 2016</t>
  </si>
  <si>
    <t xml:space="preserve"> Refacción de Pabellon completo Escuela N° 8016 San Miguel , Escuela N°1800 Gral Bernardino Caballero, Escuela N°6840 Santa Ana, Escuela N° 4662 Arroyo Ita y Escuela N° 4665 Norte Pyahu y otros  , según Planificación Municipal 2016</t>
  </si>
  <si>
    <t>Adquisición de 10 computadora  para los Directores de Escuela según Presupuesto Municipal año 2015</t>
  </si>
  <si>
    <t xml:space="preserve">1.10. Paso Barreto </t>
  </si>
  <si>
    <t>835 alumnos de la Educación Inicial y Educación Escolar Básica del 1° y 2° que recibirán almuerzo escolar, según Presupuesto Municipal del año 2016</t>
  </si>
  <si>
    <t>Construcción de 1 bloque administrativo nuevo en centros educativos, según Planificación Municipal 2016</t>
  </si>
  <si>
    <t>1 Aula a ser construidos, según planificación Municipal 2016</t>
  </si>
  <si>
    <t>Construcción de 1 tinglado nuevo de acuerdo a la Microplanificación del MEC año 2016</t>
  </si>
  <si>
    <t>Reparación de 3 aulas de acuerdo a la Microplanificación del MEC año 2016</t>
  </si>
  <si>
    <t>Adquisición de 200 Sillas y mesas para alumnos, según Planificación Municipal año 2016</t>
  </si>
  <si>
    <t>Sillas y mesas</t>
  </si>
  <si>
    <t>1.11. San Alfredo</t>
  </si>
  <si>
    <t>380 alumnos de la Educación Inicial y Educación Escolar Básica del 1° y 2° que recibirán almuerzo escolar, según Presupuesto Municipal del año 2016</t>
  </si>
  <si>
    <t>27.000 raciones de comida elaborada para Almuerzo Escolar de alumnos de la Educación Inicial y Educación Escolar Básica del 1° y 2° , según Presupuesto Municipal del año 2016</t>
  </si>
  <si>
    <t>2 aulas a construir, según Planificación Municipal 2016</t>
  </si>
  <si>
    <t>19 Km de reparación y mejoramiento de Accesos a locales escolares camino Esc. San Ramon del Asentamiento San Ramón y Esc. Santa Maria del asentamiento 3 Cerros planificados para el año 2016</t>
  </si>
  <si>
    <t>1 Obra de Construcción de Comedor en Escuela Basica N° 7149 San Ramon planificados para el año 2016</t>
  </si>
  <si>
    <t>1 Obra de Construcción de Comedor en Escuela Basica 8 de Noveimbre del Asentamiento 8 de Noviembre, planificados para el año 2016</t>
  </si>
  <si>
    <t>410 unidades, 300 sillas pedagígicas, 10 unid de computadores y 100 unid de sillas con mesitas según planificación municipal 2016.</t>
  </si>
  <si>
    <t>6.000 m2 de Mejoramientos de caminos de acceso a instituciones educativas, según Planificacion Municipal 2.016</t>
  </si>
  <si>
    <t>3.250 metros cuadrados de empedrado en Zona Urbana, según Planificacion Municipal 2.016</t>
  </si>
  <si>
    <t>1 Pabellon (2 aulas y 1 dirrecion), según Planificacion Municipal 2.016</t>
  </si>
  <si>
    <t>Proyectos de Infraestructura en Educacion</t>
  </si>
  <si>
    <t>Construcción de 4 sanitarios nuevas en las escuelas Publicas del Distrito, según Planificación Municipal 2016</t>
  </si>
  <si>
    <t>4 Reparación de Aulas, según Planificacion Municipal 2.016</t>
  </si>
  <si>
    <t>4 Construcción de Aulas, según Planificacion Municipal 2.016</t>
  </si>
  <si>
    <t>469 alumnos/as de la Educación Inicial y Educación Escolar Básica del 1°, 2 y 3º ciclo, matriculados en el año 2016, según Microplanificacion para el año 2.016</t>
  </si>
  <si>
    <t>Proyecto</t>
  </si>
  <si>
    <t>Metros</t>
  </si>
  <si>
    <t xml:space="preserve">122 km de Reparación de Caminos Acceso a Locales Escolares, según planificación municipal </t>
  </si>
  <si>
    <t xml:space="preserve">Construcciones de Aulas para escuelas, según planificación </t>
  </si>
  <si>
    <t>550 Alumnos que Recibirán Almuerzo Escolar que representan el 10% de 5.730 Alumnos Matriculados en el 2016</t>
  </si>
  <si>
    <t>1 Kmde reparacion de  enripiado a construir  frente a centros educativos, según Planificación Municipal 2016</t>
  </si>
  <si>
    <t>12aulas a construir en centros educativos, según Planificación Municipal 2016</t>
  </si>
  <si>
    <t>814 alumnos/as de la Educación Inicial y Educación Escolar Básica del 1° y 2°, matriculados en el año 2016, según datos del MEC</t>
  </si>
  <si>
    <t>Plaza</t>
  </si>
  <si>
    <t>4 Deudas a Proveedores del Ejercicio 2,015 gastos de capital, según planificación municipal 2016</t>
  </si>
  <si>
    <t>10 Reparaciones de aulas en las escuelas del distrito según planificacion Municipal</t>
  </si>
  <si>
    <t xml:space="preserve">10 Elaboracion de proyectos de infraestructura para obras de educacion en las distinta escuelas del distrito, según planificación municipal </t>
  </si>
  <si>
    <t xml:space="preserve">160 sillas pedagogicas para escuelas del distrito, según planificación municipal </t>
  </si>
  <si>
    <t xml:space="preserve">4 Baños sexados a ser construidos en el año, según planificación </t>
  </si>
  <si>
    <t>8 aulas a ser construidas en centros educativos, según Planificación Municipal 2016</t>
  </si>
  <si>
    <t>300 de alumnos/as de la Educación Inicial y Educación Escolar Básica del 1° y 2 ciclo, matriculados en el año t que reciben Almuerzo Escolar</t>
  </si>
  <si>
    <t>Estudio de Proyecto de Inversión</t>
  </si>
  <si>
    <t>Puentes</t>
  </si>
  <si>
    <t>Almuerzo Escolar para 1400 Alumnos de educacion inicial y escolar Basicas matriculados en el ano 2016 que reciben almuerzo escolar en 9 Instituciones Educativas del Distrito</t>
  </si>
  <si>
    <t>800 Metros cubicos de canalizacion de caminos de acceso a entidades educativas por construir, según Planificación Municipal 2016</t>
  </si>
  <si>
    <t>13.115 Metros cuadrados de relleno, compactacion y enripiado de caminos de acceso a entidades educativas por construir, según Planificación Municipal 2016</t>
  </si>
  <si>
    <t xml:space="preserve">20 Aula a ser reparadas  en el año 2016, según lo planificado por la Municipalidad </t>
  </si>
  <si>
    <t>Proyecto de Infraestructura en Educación</t>
  </si>
  <si>
    <t>Equipos</t>
  </si>
  <si>
    <t>20 Adquisicion de equipos de Oficina y computacion para las instituciones educativas</t>
  </si>
  <si>
    <t xml:space="preserve">10 Aula a ser construida en el año 2016, según lo planificado por la Municipalidad </t>
  </si>
  <si>
    <t>198  alumnos/as de la Educación Inicial y Educación Escolar Básica del 1° y 2 ciclo, matriculados en el año que reciben Almuerzo Escolar.</t>
  </si>
  <si>
    <t>50 (Cincuenta) Obras de caminos mantenidos y reparados según planificacion municipal 2.016.</t>
  </si>
  <si>
    <t xml:space="preserve"> 1 Sanitario a construir, segun planificacion Municipal</t>
  </si>
  <si>
    <t>5 (Cinco) Aulas a ser  Construidas en el Distrito en el Ejercicio 2.016.</t>
  </si>
  <si>
    <t>405 (Cuatrocientos cinco) alumnos de 4 Escuelas del Distrito que reciben almuerzo escolar según Planificación Municipal 2.016.</t>
  </si>
  <si>
    <t>Pizarrones</t>
  </si>
  <si>
    <t>Adquisición de 20 Pizarrones a entregar en centros educativos, según Planificación Municipal 2016</t>
  </si>
  <si>
    <t>Escritorios</t>
  </si>
  <si>
    <t>Adquisición de 20  Escritorios a entregar en centros educativos, según Planificación Municipal 2016</t>
  </si>
  <si>
    <t>Adquisición de 10  Armarios a entregar en centros educativos, según Planificación Municipal 2016</t>
  </si>
  <si>
    <t>Mesas</t>
  </si>
  <si>
    <t>Adquisición de 180  mesas a entregar en centros educativos, según Planificación Municipal 2016</t>
  </si>
  <si>
    <t>Adquisición de 250 Pupitres a entregar en centros educativos, según Planificación Municipal 2016</t>
  </si>
  <si>
    <t>3 Reparaciones de Baños a realizar según Planificacion Municipal año 2016</t>
  </si>
  <si>
    <t>900 m2 de Construcion de empedrado en acceso a Instituciones Educativas, según Planificacion Municipal 2016.</t>
  </si>
  <si>
    <t xml:space="preserve"> 9.539  M3 de Construcion de enripiado en acceso a Instituciones Educativas, según Planificacion Municipal 2016.</t>
  </si>
  <si>
    <t>7 Reparaciones de aulas  según Planificacion Municipal año 2016</t>
  </si>
  <si>
    <t>Construcción de 1 Galeria a realizar según Planificación Municipal año 2016</t>
  </si>
  <si>
    <t>Construcción de 1 Baño a realizar según Planificación Municipal año 2016</t>
  </si>
  <si>
    <t>Construcción de 6 aulas nuevas, según Planificación Municipal año 2016</t>
  </si>
  <si>
    <t>912 alumnos de la Educación Inicial y Educación Escolar Básica del 1° y 2° que recibirán almuerzo escolar, según Presupuesto Municipal del año 2016</t>
  </si>
  <si>
    <t>2 Deudas Pendientes a pagar por Construcción de Aulas en el Año 2015, según Planificación Municipal 2016</t>
  </si>
  <si>
    <t>Adquisición de 2 Escritorios a entregar en Centros Educativos del Distrito, según Planificación Municipal 2016</t>
  </si>
  <si>
    <t>Adquisición de 5 Armarios a entregar en Centros Educativos del Distrito, según Planificación Municipal 2016</t>
  </si>
  <si>
    <t>Adquisición de 332 Pupitres a entregar en Centros Educativos del Distrito, según Planificación Municipal 2016</t>
  </si>
  <si>
    <t>8.000 Metros Cuadrados de Enripiado de H: 0,20 con colocación de alcantarillados previstos según Planificación Municipal 2016</t>
  </si>
  <si>
    <t>Construcción de cinco baños sexados (Esc. San Miguel, Esc. Gral. Bernardino Caballero, Esc. Gral. Ycu Sati y Esc. Carlos A. Lopéz ), según Planificación Municipal 2016</t>
  </si>
  <si>
    <t>4 Construcción de cuatro aulas (Esc. San Miguel, Esc. Gral. Bernardino Caballero, Esc. Gral. José Eduvigis Diaz y Esc. Carlos A. Lopéz ), según Planificación Municipal 2016</t>
  </si>
  <si>
    <t>Almuerzo Escolar para 418 alumnos del 1º y 2º ciclo en distintas Escuelas del distrito de Unión según Planificación Municipal 2016</t>
  </si>
  <si>
    <t>Metros Lineal</t>
  </si>
  <si>
    <t>Construcción de 1 sanitario nuevo, según Planificación Municipal 2016</t>
  </si>
  <si>
    <t>62 km de Perfilado de caminos y entubamiento en las comunidades escolares, según Planificacion Municipal 2.016</t>
  </si>
  <si>
    <t>Adquisición de 470 Sillas con mesas para diferentes Instituciones Educativas, según Planificación Municipal 2016</t>
  </si>
  <si>
    <t>Construcción de 3 sanitarios nuevas en las escuelas Publicas del Distrito, según Planificación Municipal 2016</t>
  </si>
  <si>
    <t>1 Cocina comedor construida, según Planificación Municipal 2016</t>
  </si>
  <si>
    <t>Construcción de 3 aulas nuevas en la Escuela Publica del Distrito, según Planificación Municipal 2016</t>
  </si>
  <si>
    <t>141 alumnos/as de la Educación Inicial y Educación Escolar Básica del 1°y 2º ciclo, matriculados en el año 2016, según Microplanificacion para el año 2.016</t>
  </si>
  <si>
    <t>12 Deudas por gastos de Capital pendientes de pago del ejercicio anterior según presupuesto 2016</t>
  </si>
  <si>
    <t>780 m2 de reparaciones, limpieza y mejoramiento de accesos a locales escolares, planificados para el año 2016</t>
  </si>
  <si>
    <t>66 m2 de Construcción de local para comedor en Escuela realizadas, según Presupuesto 2016</t>
  </si>
  <si>
    <t>Proyectos de Infraestructura en educación</t>
  </si>
  <si>
    <t>4 Construcciones de Aulas realizadas en las Escuelas N° 2636 San Isidro, Esc. N° 3708 San Francisco, Esc. N° 405 Merardo Achucarro, Esc. N° 1611 Doña Catalina de Caceres, según Presupuesto  2016</t>
  </si>
  <si>
    <t>200 m2 de refacción de Escuela realizada en Esc. básica Nº 405 Merardo Achucarro y Escuela Basica N° 1611 Doña Catalina Salinas de Caceres, según Presupuesto 2016</t>
  </si>
  <si>
    <t>1 Deudas por gastos de corrientes pendientes de pago del ejercicio anterior según presupuesto 2016</t>
  </si>
  <si>
    <t>26.203 Raciones de almuerzo Escolar beneficiando a 896 alumnos de 4 Instituciones Educativas segùn autorización del MEC para el ejercicio 2016</t>
  </si>
  <si>
    <t>896 alumnos de la Educación Inicial y Educación Escolar Básica del 1° y 2° ciclos que recibirán almuerzo escolar, según Presupuesto Municipal del año 2016</t>
  </si>
  <si>
    <t>700 Pupitres a ser entregados en centros educativos, según Planificación Municipal 2016</t>
  </si>
  <si>
    <t>Sillas pedagógicas</t>
  </si>
  <si>
    <t>700 Sillas a ser entregadas en centros educativos, según Planificación Municipal 2016</t>
  </si>
  <si>
    <t xml:space="preserve">Construcción de 1400m2 de Pavimento Tipo empredadro acceso a Instituciones Educativas según Planifcacion  para el año 2016 </t>
  </si>
  <si>
    <t>1 Construccion de Baño sexado de 6 caseta en la Esc. Bas. Nº 2933 Ybu Pora planificadas para construir en el año 2016</t>
  </si>
  <si>
    <t xml:space="preserve"> 5 Aulas a ser construidas en la Esc. Bas. 4057 San Isidro Labrador 5º Linea Cerro Verde, Col. Nac. San Nicolas, Esc. Bas. 3545 3 de Febrero ÑU ai planificadas para construir en el año 2016</t>
  </si>
  <si>
    <t>600 alumnos de la Educación Inicial y Educación Escolar Básica del 1° y 2° que recibirán almuerzo escolar, según Presupuesto Municipal del año 2016</t>
  </si>
  <si>
    <t>obras</t>
  </si>
  <si>
    <t>Construcción de 4247 m2 de Empedrado, en varias calles del Distrito, según Planificación Municipal 2016</t>
  </si>
  <si>
    <t>Construcción de 8 aulas en distintas Escuelas del distrito,según Planificación Municipal 2016</t>
  </si>
  <si>
    <t>6 Reparacion de Aulas, planificadas para el año 2016</t>
  </si>
  <si>
    <t>420  Alumnos con Almuerzo Escolar para alumnos del 1º y 2º ciclo en distintas Escuelas del distrito de San Estanislao según Planificación Municipal 2016</t>
  </si>
  <si>
    <t>Obligaciones del Ejercicio 2015, a ser cancelado en periodo 2016</t>
  </si>
  <si>
    <t>Construcción de 1.666 m2 de empedrados para acceso a Instituciones escolares, según Planificación Municipal 2016</t>
  </si>
  <si>
    <t>2  Aulas a ser refaccionadas en los centros educativos, según planificación Municipal 2016</t>
  </si>
  <si>
    <t xml:space="preserve"> 1 aulas a construir planificadas para construir en el año 2016</t>
  </si>
  <si>
    <t xml:space="preserve">Construccion de (Un) Comedor con Cocina en La Esc. Basica No.236 Mcal. Jose Felix Estigarribia, según planificación municipal </t>
  </si>
  <si>
    <t>Construcción de 1 cercado perimetral, según Planificación Municipal 2016</t>
  </si>
  <si>
    <t>Construccion de (Un) Aula Para Pre- Escobar s/Micro Planificacion  MEC</t>
  </si>
  <si>
    <t>Construcción de 2 aula, según Planificación Municipal 2016 y Requerimiento de La micro Planificacion MEC</t>
  </si>
  <si>
    <t>2 Obligaciones del Ejercicio 2015, por gastos corrientes a ser cancelado en periodo 2016</t>
  </si>
  <si>
    <t>532 alumnos de la Educación Inicial y Educación Escolar Básica del 1° y 2° que recibirán almuerzo escolar, según Presupuesto Municipal del año 2016</t>
  </si>
  <si>
    <t>50 km de mejoramiento de acceso alocales escolares planificados para el año 2016</t>
  </si>
  <si>
    <t>Construcción de 1 aula con 1 baño sexado  planificadas según Presupuesto año 2016.</t>
  </si>
  <si>
    <t>Construcción de 3 (tres) Aulas nuevas, 3 aulas nuevas y 1 aula con Baño sexado según planificación 2016</t>
  </si>
  <si>
    <t>Construcción de 4 Aulas nuevas, según planificación 2016</t>
  </si>
  <si>
    <t>0 alumnos de la Educación Inicial y Educación Escolar Básica del 1° y 2° que recibirán almuerzo escolar, según Presupuesto Municipal del año 2016</t>
  </si>
  <si>
    <t>100 m  de empedrado egún planificación 2016</t>
  </si>
  <si>
    <t>Construcción de 3 nuevos sanitarios, según planificación 2016</t>
  </si>
  <si>
    <t>Reparación de 28 Aulas, según planificación 2016</t>
  </si>
  <si>
    <t>205 alumnos/as de la Educación Inicial y Educación Escolar Básica del 1° y 2° planificados que recibirán almuerzo escolar en el 2016</t>
  </si>
  <si>
    <t>Elaboración de 5 (cinco) Estudios y Proyectos de Inversión para la elaboración de Proyectos de Interés Comunitarios a ser desarrollados en el Ejercicio 2.016 en Centros Educativos y área de influencia.</t>
  </si>
  <si>
    <t>Sillas Pedagógicas</t>
  </si>
  <si>
    <t>100 (cien) Sillas Pedagógicas a ser entregadas en Centros Educativos en el Ejercicio 2.016.</t>
  </si>
  <si>
    <t>Adquisición de 5 equipos informáticos a ser realizados en el Ejercicio 2.016.</t>
  </si>
  <si>
    <t>3 (Tres) adquisicion de cortadoras de césped para trabajos de limpieza a ser realizadas el Ejercicio 2.016.</t>
  </si>
  <si>
    <t>1 (uno) Baños Sexados a ser Construidos en Escuelas del Distrito en el Ejercicio 2.016.</t>
  </si>
  <si>
    <t>6 (sies) Aulas a ser construidas en Centro Educativo del Distrito en el Ejercicio 2.016.</t>
  </si>
  <si>
    <t>746 (setecientos cuarenta y seis) alumnos del Distrito reciben almuerzo escolar según Planificación Municipal 2.016.</t>
  </si>
  <si>
    <t>329 m2 de vereda con piso baldosa, alisada de cemento y rampa de acceso vehicular para el Colegio Nacional EMD Choré, planificados para el año 2016</t>
  </si>
  <si>
    <t>250 m2 de Refacción de 3 Aulas y Dirección en la Colegio Nacional Nuclear 1 planificadas para el año 2016.</t>
  </si>
  <si>
    <t>121 m2 de Terminación de local para comedor en la Escuela Básica Nº 4045 8 de Agosto, planificadas para el año 2016</t>
  </si>
  <si>
    <t>5 Construcciones de Aulas para Escuelas Básicas Nros. 7939 Cristo Rey de El Portal, 2784 San José del Barrio San José y Escuela Bàsica Nº 15153 Ñu Apuá, planificadas para el año 2016</t>
  </si>
  <si>
    <t>362 m2 de refacción del local de la Supervisión Administrativa y Pedagógica de Choré Colegio Nuclear 1 y Escuela básica Nº 658 Agustín Barboza, planificada para el ejercicio año 2016.</t>
  </si>
  <si>
    <t>48152 Raciones de almuerzo Escolar beneficiando a 896 alumnos de 9 Instituciones Educativas segùn autorización del MEC para el ejercicio 2016</t>
  </si>
  <si>
    <t xml:space="preserve">1 Construcción de Canalizaciones, enripiados  y  Alcantarillado  alrededor de Entidades Educativas, segun planificacion </t>
  </si>
  <si>
    <t>1 Obra para reparacion de  Instituciones Educativas, segun planificacion Municipal</t>
  </si>
  <si>
    <t>Aula</t>
  </si>
  <si>
    <t xml:space="preserve">1 Construcción de aulas en las Escuelas del Distrito  de Puerto Antequera, segun planificacion </t>
  </si>
  <si>
    <t>300 alumnos/as de la educación inicial y educación escolar básica del 1° y 2 ciclo, matriculados en el año 2016,  que recibirán almuerzo escolar</t>
  </si>
  <si>
    <t>Construcción de 3.161 m2 de Empedrados en la Ciudad de San Pedro de Ycuamandyyú , según planificación Municipal</t>
  </si>
  <si>
    <t>1 Baño construido en instituciones educativas, según planificación</t>
  </si>
  <si>
    <t>2 aulas a ser construidas, en centros educativos, según Planificación Municipal 2016</t>
  </si>
  <si>
    <t>4  aulas a ser construidas, en centros educativos, según Planificación Municipal 2016</t>
  </si>
  <si>
    <t>35.910 raciones de almuerzo escolar para alumnos de educación  inicial y escolar básica 1o y 2o ciclos matriculados en el año 2016</t>
  </si>
  <si>
    <t>285 Alumnos/as de la Educación Inicial y Educación Escolar Básica del 1° y 2 ciclo, matriculados en el año 2016 que reciben Almuerzo Escolar</t>
  </si>
  <si>
    <t>03. Cordillera</t>
  </si>
  <si>
    <t>800 alumnos de la Educación del 1° y 6° que recibirán almuerzo escolar, según Presupuesto Municipal del año 2016</t>
  </si>
  <si>
    <t>Construcción de 6 aulas nuevas en centros educativos, según Planificación Municipal 2016</t>
  </si>
  <si>
    <t>Construcción de 1 sanitarios nuevos en centros educativos, según Planificación Municipal 2016</t>
  </si>
  <si>
    <t>Construcción de 3 Cocinas y comedor en centros educativos, según Planificación Municipal 2016</t>
  </si>
  <si>
    <t>Cocina/Comedor</t>
  </si>
  <si>
    <t>Reparación, remodelación y ampliación de 5 sanitarios, según Planificación Municipal 2016</t>
  </si>
  <si>
    <t>1 de Construcción de Puente planificados para construir en el año 2016</t>
  </si>
  <si>
    <t xml:space="preserve"> 9364 m2 de Pavimento Pétreo Tipo Empedrado planificados para construir en el año 2016</t>
  </si>
  <si>
    <t>03. 02 Altos</t>
  </si>
  <si>
    <t>1</t>
  </si>
  <si>
    <t>5</t>
  </si>
  <si>
    <t>3</t>
  </si>
  <si>
    <t>653 alumnos/as de la Educación Inicial y Educación Escolar Básica del 1° y 2°, matriculados en el año 2016, según datos del MEC del año 2016.</t>
  </si>
  <si>
    <t>653</t>
  </si>
  <si>
    <t xml:space="preserve">Proyectos de Infraestructura en Educación </t>
  </si>
  <si>
    <t>Construcción de 5 aulas, según planificación 2016</t>
  </si>
  <si>
    <t>Construcción de 4 sanitarios, según planificación 2016</t>
  </si>
  <si>
    <t>4</t>
  </si>
  <si>
    <t>Adquisición de 495 sillas pupitres para escuelas de la ciudad</t>
  </si>
  <si>
    <t>495</t>
  </si>
  <si>
    <t>03. 03 Arroyos y Esteros</t>
  </si>
  <si>
    <t>Construccción de 6 sanitarios tipo Rural, ha ser construido en los Centros Educativos según planificación del año 2016.</t>
  </si>
  <si>
    <t>Construccion y Equipamiento de 2 aulas ha ser construida en el año 2016  según planificación en  el año 2016</t>
  </si>
  <si>
    <t>Reparación de 40 Aulas a ser reparadas según planificacion 2016.</t>
  </si>
  <si>
    <t>Proyecto de Invesión Pública y Desarrollo</t>
  </si>
  <si>
    <t xml:space="preserve">1 construccion de una Cuneta cielo abierto y  1 caminero de entorno escolar, según planificación municipal </t>
  </si>
  <si>
    <t>03. 04 Atyra</t>
  </si>
  <si>
    <t>400 alumnos de la Educación Inicial y Educación Escolar Básica del 1° y 2° que recibirán almuerzo escolar, según Presupuesto Municipal del año 2016</t>
  </si>
  <si>
    <t xml:space="preserve"> 3 sanitarios planificado para construir en el año 2016.</t>
  </si>
  <si>
    <t xml:space="preserve"> 8 sanitario planificado para construir (reparación) en el año 2016.</t>
  </si>
  <si>
    <t xml:space="preserve"> 360 m2 de Pavimento Tipo Empedrado planificados para construir en el año 2016</t>
  </si>
  <si>
    <t>180 m 2 de Vereda, en la Escuela  Nº 387, según Planificación año 2016.</t>
  </si>
  <si>
    <t>03. 05 Caraguaty</t>
  </si>
  <si>
    <t>264 Alumnos/as beneficiados con almuerzo escolar, según planificación municipal.</t>
  </si>
  <si>
    <t xml:space="preserve">5032  m2 de pintura y revoques, construcciones e instalaciones varias, provision y colocacion de techo metalico, según planificación </t>
  </si>
  <si>
    <t>03. 06 Emboscada</t>
  </si>
  <si>
    <t>Provisón de Almuerzo Escolar para 2500 Alumnos de la Educación Inicial y Educación Escolar Básica 1° y 2° ciclo del distrito de Emboscada</t>
  </si>
  <si>
    <t>1 Construcción de Aula en la Escuela Don Ramón Lequizamón, según presupuesto municipal</t>
  </si>
  <si>
    <t>Construcción de 1 Aula Preescolar en la Escuela Don Andrés Ferreira, según planificación municipal</t>
  </si>
  <si>
    <t>Construcción de 3 Aulas en Escuelas del distrito de Emboscada, según planificación municipal</t>
  </si>
  <si>
    <t>Reparación de 2 Instituciones - Escuela San Francisco Solano y Colegio Nacional San Agustín según planificación municipal</t>
  </si>
  <si>
    <t>80. 522. 300</t>
  </si>
  <si>
    <t>1 Construcción de baño sexado - Escuela Don Anfrés Ferreira s/ planificación municipal</t>
  </si>
  <si>
    <t>1 Construcción de baño sexado - Escuela Abraham Lincoln y Refacción Escuela Luz Abente Barrail s/ planificación municipal</t>
  </si>
  <si>
    <t>180 Adquisiciones de mobiliarios para entidades educativas de Emboscada según planificación para el ejercicio 2016 y 2017</t>
  </si>
  <si>
    <t>03. 07 Eusebio Ayala</t>
  </si>
  <si>
    <t>6.357 Metros cuadrados de Pavimento Pétreo tipo empedrados a ser construidos, según Planificación Municipal 2016</t>
  </si>
  <si>
    <t>3.097 alumnos/as de la Educación Inicial y Educación Escolar Básica del 1° y 2°, según datos del MEC del año 2016. Para 24.050 raciones de 5 escuelas</t>
  </si>
  <si>
    <t>4 aulas a ser construidas en centros educativos, según Planificación Municipal 2016</t>
  </si>
  <si>
    <t>4 Sanitarios a ser construidos en centros educativos, según Planificación Municipal 2016</t>
  </si>
  <si>
    <t>17 Aulas y baños sexados a ser reparadas y refaccionadas en centros educativos, según Planificación Municipal 2016</t>
  </si>
  <si>
    <t>266 alumnos/as de la Educación Inicial y Educación Escolar Básica del 1° y 2° a los que se les proveera Almuerzo Escolar en el año 2016</t>
  </si>
  <si>
    <t>Construccion de 1 sanitario tipo MEC en según planificacion 2016.</t>
  </si>
  <si>
    <t>4 obras de Refacciones varias en entidades educativas del distrito planificados en el 2016</t>
  </si>
  <si>
    <t>4198 Construcción de  empedrado en varias cñias del distrito según planificación  2016</t>
  </si>
  <si>
    <t>Adquisición de 1 desmalezadora para Entidades Educativas</t>
  </si>
  <si>
    <t xml:space="preserve">Adquisición de 704 Muebles y equipos para alumnos y profesores, según planificación </t>
  </si>
  <si>
    <t xml:space="preserve">1 Reparaciones Mayores  de 1 Aula en Instituciones Educativas, según planificación </t>
  </si>
  <si>
    <t>5 Pagos para Previsión de rubro  para contratos de  Construcción  y Reparaciones de aulas del periodo 2015 ( contratos plurianuales) que serán cancelados en el periodo vigente  según planificación 2016</t>
  </si>
  <si>
    <t>771  Alumnos de la Escolar Basica matriculados en el año 2016, según datos de las Instituciones Educativas del Distrito de Itacurubi de la Cordillera</t>
  </si>
  <si>
    <t xml:space="preserve"> 1 Reparacion de un aula en las Esc. Yhaguy en el año 2016), según planificación </t>
  </si>
  <si>
    <t xml:space="preserve">7 Reparaciones de  Aulas  en el Distrito de Itacurubi de la Cordillera, según planificación municipal </t>
  </si>
  <si>
    <t xml:space="preserve">3000 m2 Construccion de empedrado en el area de acceso de la Esc. Nª 103 Mercedes Infante Rivarola, según planificación municipal </t>
  </si>
  <si>
    <t>Se tiene previsto adquirir 650  sillas con mesitas para las diferentes escuelas del distrito de Itacurubi de la Cordillera</t>
  </si>
  <si>
    <t>Sillas con mesitas</t>
  </si>
  <si>
    <t>03. 10 Juan de Mena</t>
  </si>
  <si>
    <t>1.074 Alumnos de la Educación Inicial y Educación Escolar Básica del 1° y 2° que recibirán almuerzo escolar, según Presupuesto Municipal del año 2016</t>
  </si>
  <si>
    <t xml:space="preserve">3 Construccion de Aulas en varias instituciones educativas, según planificación Municipal </t>
  </si>
  <si>
    <t xml:space="preserve">Aulas </t>
  </si>
  <si>
    <t>1 Obras de Arreglos de Caminos de Entrada a Escuela según Planificacion Municipal 2.016.</t>
  </si>
  <si>
    <t>3 Proyectos de Inversión de interés comunitario "Construcción de  Cercados Perimetral, Polideportivo, Fiscalización de Obras,  según Planificación Municipal 2016</t>
  </si>
  <si>
    <t>03. 11 Loma Grande</t>
  </si>
  <si>
    <t xml:space="preserve">2 aulas a construir Planificados dentro del ejericio 2016 </t>
  </si>
  <si>
    <t>2 aulas con reparaciones planificadas para el ejercicio 2016</t>
  </si>
  <si>
    <t xml:space="preserve">aulas </t>
  </si>
  <si>
    <t>Construccion de 16 m2 de empedrado planificados para el ejercicio fiscal 2016</t>
  </si>
  <si>
    <t>556 Provision de mobiliarios para instituciones educativas de Loma Grande, conforme autorizacion del MEC</t>
  </si>
  <si>
    <t>167 Alumnos de la Escuela del Distrito que recibiran almuerzo escolar Según Planificació para este año</t>
  </si>
  <si>
    <t>Almuerzo escolar</t>
  </si>
  <si>
    <t>586 alumnos matriculados en Educación Inicial y EEB 1° y 2° ciclos, con almuerzo escolar a cargo de la Municipalidad, en el tercer cuatrimestre del ejercicio fiscal 2016</t>
  </si>
  <si>
    <t>1 Deuda pendiente de pago con  proveedor de almuerzo escolar al cierre del ejercicio 2015</t>
  </si>
  <si>
    <t>Construcción de 3 cocinas comedor en escuelas públicas según microplanificación</t>
  </si>
  <si>
    <t>Cocina comedor</t>
  </si>
  <si>
    <t>Construcción de 4 aulas nuevas en escuelas públicas según microplanificación</t>
  </si>
  <si>
    <t>2 Deudas pendientes de pago al cierre del ejercicio fiscal 2015: a) con proveedor de enseres de cocina (congeladora y licuadora industrial) para comedor escolar, y b) por construcción de aulas en escuelas públicas (Esc. Gregorio Olmedo)</t>
  </si>
  <si>
    <t>03. 14 Piribebuy</t>
  </si>
  <si>
    <t>1 prevision presupuestaria para el pago de deudas pendientes de pagos obligados al cierre del ejercicio 2015</t>
  </si>
  <si>
    <t xml:space="preserve">Provisión de almuerzo escolar para alumnos de las escuelas de la compañías - servicio de 22.655 rciones de comidas frescas         </t>
  </si>
  <si>
    <t xml:space="preserve">895 Alumnos que  recibirán almuerzo escolar en el año 2016 </t>
  </si>
  <si>
    <t>Construcción Obras de infraestructura en las escuelas  publicas - 4 aulas   según microplanificación y autorización de MEC</t>
  </si>
  <si>
    <t xml:space="preserve">4 Construcción de Sanitarios, en varias escuelas, según microplanificación y presupuesto municipal </t>
  </si>
  <si>
    <t xml:space="preserve">363 Adquisición de mobiliarios sillas y mesas para uso de las escuelas publicas </t>
  </si>
  <si>
    <t>Reparaciones en un 1 aula en escuelas publicas, según planificación Municipal</t>
  </si>
  <si>
    <t>600 alumnos de la Educación Inicial y Educación Escolar Básica ° que recibirán almuerzo escolar, según Presupuesto Municipal del año 2016</t>
  </si>
  <si>
    <t>Construcción de 5 aulas , según Planificación Municipal 2016</t>
  </si>
  <si>
    <t>6 km  Construcción de enripiado  de camino acceso a escuela  planificados para construir en el año 2016</t>
  </si>
  <si>
    <t>Para adquirir 15 computadora para la escuela de primero de marzo</t>
  </si>
  <si>
    <t>Computadoras</t>
  </si>
  <si>
    <t xml:space="preserve">03. 16. San Bernardino </t>
  </si>
  <si>
    <t xml:space="preserve">1 Deuda Ejercicios Anteriores Provisión Almuerzo Escolar año 2015, según planificación </t>
  </si>
  <si>
    <t>10 aulas nuevas para Instituciones Educativas según microplanificacion</t>
  </si>
  <si>
    <t>10 reparación de aula en Instituciones Educativas según microplanificación</t>
  </si>
  <si>
    <t xml:space="preserve"> 200 Adquisicion de pupitres , pizarrones para Instituciones Educativas, según planificación municipal 2016</t>
  </si>
  <si>
    <t>164 Adquisición de equipos de oficina y computación, escritorios , sillas para docentes, armarios, sillas para alumnos, pizarras para varias escuelas del distrito de San Bernardino según planificación Municipal</t>
  </si>
  <si>
    <t>1 Deuda Ejercicios Anteriores declaradas en el corte administrativo, según planificación municipal 2016</t>
  </si>
  <si>
    <t>03. 17. Santa Elena</t>
  </si>
  <si>
    <t>335 Alumnos de la educacion inicial y educacion escolar basica de 5 Escuelas públicas del distrito que reciben 27540 raciones de almuerzo escolar según planificacion municipal del año 2016</t>
  </si>
  <si>
    <t>3 Construcción de aulas en escuelas públicas de la ciudad según planificación municipal 2016</t>
  </si>
  <si>
    <t>2 Reparacion de aulas en escuelas publicas, según planificación municipal 2016</t>
  </si>
  <si>
    <t>300 Adquisición de sillas con pupitre para escuelas públicas del distrito, según planificación municipal 2016</t>
  </si>
  <si>
    <t>Sillas Pupitre</t>
  </si>
  <si>
    <t>1  Proyecto elaborado para reparación de aulas en escuelas según planificación municipal 2016</t>
  </si>
  <si>
    <t>03. 18. Tobati</t>
  </si>
  <si>
    <t>Construcción de 4 Aulas, según planificación 2016</t>
  </si>
  <si>
    <t>Reparaciones de 12 SS.HH., según planificación 2016</t>
  </si>
  <si>
    <t>Construccion de 5 SS.HH., según planificación 2016</t>
  </si>
  <si>
    <t>5 Equipamientos tecnologicos con dispositivos electronicos de lectura y computadoras para  Escuelas del distrito según planificación 2016</t>
  </si>
  <si>
    <t>1  Deudas a pagar por Almuerzo escolar planificada en el año 2016</t>
  </si>
  <si>
    <t>1 Deudas a pagar por Aulas planificada en el año 2016</t>
  </si>
  <si>
    <t>03. 19. Valenzuela</t>
  </si>
  <si>
    <t>379 alumnos de la Educación Inicial y Educación Escolar Básica del 1° y 2° que recibiran almuerzo escolar planificados para el año 2016  Esc. 3433 Jose Dolores Vazquez / 1013 Esc. Francisco Solano López, segun Microplanificacion del MEC</t>
  </si>
  <si>
    <t>3 Deudas Pendiente a pagar, ( Por Almuerzo Escolar) segun planificacion Municipal</t>
  </si>
  <si>
    <t>1 aulas Cosntruidas para Preescolar, en la Esc. B. 425 Adela Torres Sanchez, Segun Planificacion Municipal 2016</t>
  </si>
  <si>
    <t xml:space="preserve"> 1 Reparacion y ampliacion de Intituciones Educativas, segun planificacion municipal.</t>
  </si>
  <si>
    <t>Cocina - Comedor</t>
  </si>
  <si>
    <t>2 Obras a Construir Cercado Perimetral en la Las Esc. B. 439 Eligio (Zona Urbana) Montania, y Herores del Chaco.(Zona Rural)</t>
  </si>
  <si>
    <t>3 Aulas a construir, segun planificacion 2016</t>
  </si>
  <si>
    <t>1 Obra de Bacheo y perfilado a ser realizados, segun planififcacion municipal</t>
  </si>
  <si>
    <t xml:space="preserve">6 Equipos de Muebles a las Institucuiones Educativas, Segun Planificacion </t>
  </si>
  <si>
    <t>3 Deamlezadora a Adquirir, para Instituciones Educativas, segun planificacion Municipal</t>
  </si>
  <si>
    <t>4 Equipos Recreativos Parque de Juegos a adquirir, segun planificacion Municipal</t>
  </si>
  <si>
    <t>03. 20. San José Obrero</t>
  </si>
  <si>
    <t>215 ( doscientos quince millones )  alumnos/as de la Educación Inicial y Educación Escolar Básica del 1° y 2°, matriculados en el año 2016, planificados para beneficiarlos mensualmente,  según datos del MEC del año 2016.</t>
  </si>
  <si>
    <t>7 ( siete ) reparaciones de sanitarios sexados previstos en 7 Escuelas Publicas del distrito</t>
  </si>
  <si>
    <t>1 ( UNA ) Reparacion y reconstruccion de pista, muralla y parte electrica de la Escuela San Jose Obrero</t>
  </si>
  <si>
    <t>959 alumnos/as de la Educación Inicial y Educación Escolar Básica del 1° y 2°, matriculados en el año , según datos del MEC del año 2016.</t>
  </si>
  <si>
    <t>Construcción de 12 Aulas nuevas en el año 2016, según Planificación Municipal.</t>
  </si>
  <si>
    <t>10 Obras que inclluyen la construcción de de bloques de aulas con sanitarios y Comedor, según planificación año 2016.</t>
  </si>
  <si>
    <t>25 Computadoras a ser destinada a escuelas y telecentros del Distrito de Villarrica.</t>
  </si>
  <si>
    <t>04. Guaira</t>
  </si>
  <si>
    <t>4.02. Borja</t>
  </si>
  <si>
    <t>228 alumnos de la Educación Inicial y Educación Escolar Básica del 1° y 2° que recibirán almuerzo escolar, según Presupuesto Municipal del año 2016</t>
  </si>
  <si>
    <t>1 Obligacion Ejercicio 2015 por provision de Almuerzo Escolar, según planificación municipal 2016</t>
  </si>
  <si>
    <t>Construccion de 2 Aulas Esc. Basica No. 5739  Fraccion 1500 Tte. Rojas Silva, según planificación municipal 2016</t>
  </si>
  <si>
    <t>2 Baño planificado para construir en año 2016</t>
  </si>
  <si>
    <t>2 Construcion planificados para el Ejercicio 2016;  (2) Aulas,  Esc. Basica No. 5391  Maria Florinda Mendez</t>
  </si>
  <si>
    <t>2 Construcion planificados para el Ejercicio 2016;  (2) Baños Sexados,  Esc. Basica No. 5391  Maria Florinda Mendez</t>
  </si>
  <si>
    <t>(1) Reparacion de de (UN) Aulas para el Ejercicio 2016, Esc.Basica No. 5391 Maria Florinda Mendez</t>
  </si>
  <si>
    <t>(1) Reparacion de (Un) Aula para el ejercicio 2016, Esc. Basica  No.5310 Divino Maestro</t>
  </si>
  <si>
    <t>(1) Construccion de Erripiado de Calles Colonia Boqueron, Distrito de Borja. Planificado para el Ejercicio 2016</t>
  </si>
  <si>
    <t xml:space="preserve"> Reparacion de (UN) pabellones c/ 3  Aulas  planificado para el Ejercicio 2016. Escuela Basica San Antonio</t>
  </si>
  <si>
    <t>306.207.687.</t>
  </si>
  <si>
    <t>1) Escuela Cuerpo de Paz de Cerro Punta  2) Escuela Básica N° 6151 Nueva Esperanza 3) Escuela Básica N° 5299 San Jose de Ñumi 4) Escuela Básica N° 2297 Alaides Silva de Talavera de Cora Guasu 5) Escuela Básica N° 5400 Gral. Bernardino Caballero 6) Escuela Básica N° 6528 San Blas.- Totalizando la cantidad de 361 alumnos matriculados según informe del MEC</t>
  </si>
  <si>
    <t>1 Deuda por almuerzo escolar. 1) Escuela Cuerpo de Paz de Cerro Punta -  2) Escuela San Pascual N° 137 - 3) Escuela Santa Librada.- Totalizando la cantidad de 120 alumnos matriculados según informe del MEC</t>
  </si>
  <si>
    <t>Proyectos de Inversión Pública y Desarrollo</t>
  </si>
  <si>
    <t xml:space="preserve">Construcción de 1 Bloque de Cocina en el Centro de Formación y Capacitación Laboral, según planificación municipal </t>
  </si>
  <si>
    <t>Construcción de 4 Aulas en: 1) Colegio Nacional de Cerro Punta 2) Escuela Cerro Punta 3) Escuela Asentamiento</t>
  </si>
  <si>
    <t>1 Deuda por Construcción de 4 Aulas en: 1) Colegio Nacional de Cerro Punta 2) Escuela Cerro Punta 3) Escuela Asentamiento</t>
  </si>
  <si>
    <t>4.04. Coronel Martinez</t>
  </si>
  <si>
    <t>140 alumnos de la Educación Inicial y Educación Escolar Básica del 1° y 2° que recibirán almuerzo escolar, según Presupuesto Municipal del año 2016</t>
  </si>
  <si>
    <t>10 Aulas, remodeladas, refaccionadas y ampliadas en el centros educativos, según Planificación Municipal 2016</t>
  </si>
  <si>
    <t xml:space="preserve"> 450 alumnos/as de la Educación Inicial y Educación Escolar Básica del 1° y 2 ciclo  beneficiados con almuerzo escolar durante 2016, según planificación.</t>
  </si>
  <si>
    <t>13.600  metros cuadrados de enripiado a construir, según Planificación Municipal 2016</t>
  </si>
  <si>
    <t>Metros cuadrados</t>
  </si>
  <si>
    <t>4 aulas en centros educativos del Municipio, a construir según Planificación Municipal 2016</t>
  </si>
  <si>
    <t>1 baño en centros educativos del Municipio, a construir según Planificación Municipal 2016</t>
  </si>
  <si>
    <t>12 aulas refaccionadas, reparadas y remodelación en el año 2016 según planificación</t>
  </si>
  <si>
    <t>1 baño remodelado en el año 2016 según planificación</t>
  </si>
  <si>
    <t>250 unidades de sillas con pupitres planificadas para adquirir en el año 2016 Planificación Administrativa Municipal</t>
  </si>
  <si>
    <t>4.06.  Gral. Eugenio A. Garay</t>
  </si>
  <si>
    <t>1207 alumnos/as de la Educación Inicial y Educación Escolar Básica del 1º y 2º , matriculados , según datos del MEC del año 2016</t>
  </si>
  <si>
    <t>Construcción de 5 aulas nuevas en centros educativos, según Planificación Municipal 2016</t>
  </si>
  <si>
    <t>Construcción Refaccion de  1  Pabellon de Escuela, según Planificación Municipal 2016</t>
  </si>
  <si>
    <t>Construcción de 2.250 mts2 Recapado Asfaltico sobre Empedrado, Entubamiento según Planificación Municipal 2016</t>
  </si>
  <si>
    <t>4.07.  Independencia</t>
  </si>
  <si>
    <t>306 alumnos de la Educación Inicial y Educación Escolar Básica del 1° y 2°ciclo que recibirán almuerzo escolar, según Presupuesto Municipal del año 2016</t>
  </si>
  <si>
    <t xml:space="preserve">Construccion de 11 Entubamiento de boca calle a inmediaciones de una varias Intituciones Educativas según planificación 2016 </t>
  </si>
  <si>
    <t>Construcción de 20 M3 de muro de piedra cabezal de puente que Beneficia a los alumnos de varias Intituciones Educativas del Distrito según planificacion municipal para 2016</t>
  </si>
  <si>
    <t>Construcción de 112.5 ML de canaletas que Beneficia a varias Instituciones Educativas, según planificación 2016</t>
  </si>
  <si>
    <t>Construcción de 1 Aulas nuevas, según planificación 2016</t>
  </si>
  <si>
    <t>Contruccion de 1 puente que beneficia a alumnos de Las Instituciones Educativas dentro del Distrito según palnificacion 2016</t>
  </si>
  <si>
    <t>Reparación de 10 Aulas, según planificación 2016</t>
  </si>
  <si>
    <t>Construccion de 3 nuevos sanitarios, según planificación 2016</t>
  </si>
  <si>
    <t>Reparaciones de 1 sanitarios, según planificación 2016</t>
  </si>
  <si>
    <t>Construccion de 193.13 ML de cercado perimetral de una Institución Educativa según planificación municipal para el ejercicio 2016.-</t>
  </si>
  <si>
    <t>208 alumnos/as de Instituciones de Educación Inicial y Educación Escolar Básica del 1° y 2° ciclo del Distrito de Itapé beneficiados con almuerzo alcolar en el año 2016 según planificación</t>
  </si>
  <si>
    <t>5 aulas construidas en instituciones educativas, según Planificación Municipal 2016</t>
  </si>
  <si>
    <t>2 sanitarios construidos, en instituciones educativas, según Planificación Municipal 2016</t>
  </si>
  <si>
    <t>224 unidades de sillas para alumnos planificadas a adquirir en el año 2016</t>
  </si>
  <si>
    <t>224 unidades de mesas pupitres para alumnos planificadas a adquirir en el año 2016</t>
  </si>
  <si>
    <t>10 unidades de armarios para Instituciones Educativas planificado a adquirir en el año 2016</t>
  </si>
  <si>
    <t>2700 alumnos de la Educación Inicial y Educación Escolar Básica del 1° y 2° que recibirán almuerzo escolar, según Presupuesto Municipal del año 2016</t>
  </si>
  <si>
    <t>5 Obras planificada en el año 2015 y canceladas en El ejercicio actual en Escuelas, según Planificación Municipal 2015 / 2016</t>
  </si>
  <si>
    <t>5 Aulas planificadas para construir en el año 2016</t>
  </si>
  <si>
    <t>1 Obra de Hermoseamiento de la ciclovia local planificados para construir en el año 2016.</t>
  </si>
  <si>
    <t>200 alumnos matriculados según MEC, que recibiran almuerzo escolar según planeación 2016</t>
  </si>
  <si>
    <t>6 aulas a ser construidas, según planificación 2016</t>
  </si>
  <si>
    <t>Equipamientos en las instituciones publicas</t>
  </si>
  <si>
    <t xml:space="preserve">500 sillas pedagógicas a ser entregadas, según planificación </t>
  </si>
  <si>
    <t xml:space="preserve">4.11. Mbocayaty </t>
  </si>
  <si>
    <t>Dotar a alumnos de almuerzo escolar para mejorar su formacion  de 125 Alumnos por 90 dias, según datos del MEC del año 2016</t>
  </si>
  <si>
    <t>2 Construcción de Aulas (Necesidad de  infraestructuras educativas), según Planificación Municipal 2016</t>
  </si>
  <si>
    <t xml:space="preserve"> 2 Construcción de  baños construídos y ampliados en centros educativos, según Planificación Municipal 2016
</t>
  </si>
  <si>
    <t>10 Refacción de aulas en mal estado en centros educativos, según Planificación Municipal 2016</t>
  </si>
  <si>
    <t>2000 m2 Construccion y Mejoramiento de vias de acceso a Instituciones Educativas,y Vertedero según Planificación Municipal 2016</t>
  </si>
  <si>
    <t>4.12.  Natalicio Talavera</t>
  </si>
  <si>
    <t>Construcción de 3 Aulas Nuevas, proyectadas para el año 2016</t>
  </si>
  <si>
    <t>Refacción de 2 Sanitarios para el año 2016</t>
  </si>
  <si>
    <t>Construcción de 1 Cocina -Comedor, proyectado para el año 2016</t>
  </si>
  <si>
    <t>Cocina / Comedor</t>
  </si>
  <si>
    <t>Remodelación/Reparación de 6 Aulas, proyectado para el año 2016 según planificación</t>
  </si>
  <si>
    <t>1.400 m2 de capa asfáltica construido en calles de Escuelas de Natalicio Talavera en el año 2016</t>
  </si>
  <si>
    <t>Equipamiento en las Instituciones Educativas</t>
  </si>
  <si>
    <t>Adquisición de 200 sillas pedagógica y pupitres a ser otorgadas a Instituciones Educativas en el año 2016</t>
  </si>
  <si>
    <t>4.13.  Ñumi</t>
  </si>
  <si>
    <t>1) Escuela N° 1628 "San Luis Gonzaga" -  2) Escuela N° 2289 "San Pedro" - 3) Escuela N° 5292 "San Ramón Nonato" 4) Escuela Básica N° 5294 "San Agustín"- 5) Escuela N° 5293 "San José Obrero".- 6) Escuela Básica N° 5291 "Santa Elena" 7) Escuela Básica N° 230 "Sagrado Corazón de Jesús".- Totalizando la cantidad de 550 alumnos matriculados según informe del MEC</t>
  </si>
  <si>
    <t>Construcción de 4 Aulas en: 1) Escuela Básica N° 5294 "San Agustín" y 1 aula en: 1) Escuela Básica N° 5293 "San José Obrero</t>
  </si>
  <si>
    <t>2 empedrados construidos a traves de recursos del FONACIDE, según presupuesto Municipal 2016</t>
  </si>
  <si>
    <t>1 Construccion de plaza con equipos de gimnasia construidos a traves de recursos del FONACIDE, según presupuesto Municipal 2016</t>
  </si>
  <si>
    <t>Pago de 1 deudas del ejercicio anterior a ser pagados según presupuesto Municipal 2016</t>
  </si>
  <si>
    <t>4.14. San Salvador</t>
  </si>
  <si>
    <t>283 alumnos de la Educación Inicial y Educación Escolar Básica del 1° y 2°  en el  año 2016</t>
  </si>
  <si>
    <t>240 alumnos que recibiran almuerzo escolar, según el presupuesto municipal 2016</t>
  </si>
  <si>
    <t xml:space="preserve">60 Reconstrucción de aulas, techos y mampostería, según planificación </t>
  </si>
  <si>
    <t>5 Reparación y cambio de artefactos de sanitario sexado</t>
  </si>
  <si>
    <t>10 km. De caminos vecinales que conectan compañias con escuelas</t>
  </si>
  <si>
    <t>Adquisición de 8 Equipos Informáticos para Escuelas del distrito</t>
  </si>
  <si>
    <t>4.16. Dr. Bottrell</t>
  </si>
  <si>
    <t xml:space="preserve">Almuerzo escolar a 253 alumnos de: 1) Escuela N° 239 "Carmen B. de Gorostiaga. 2) Escuela N° 6598 "Virgen de Luján. </t>
  </si>
  <si>
    <t xml:space="preserve">6 Construcciónes de Aulas en Instituciones Educativas del Distrito de Dr. Bottrell, según planificación municipal </t>
  </si>
  <si>
    <t xml:space="preserve">20 Aulas reparadas en las instituciones educativas de Dr. Bottrell. Esc. Carmen B. de Gorostiaga y Col. Nacional Dr. Bottrell, según planificación municipal </t>
  </si>
  <si>
    <t>Proyecto de Inversión Pública y Desarrollo</t>
  </si>
  <si>
    <t>4.17. Paso Yobai</t>
  </si>
  <si>
    <t>566 alumnos de la Educación Inicial y Educación Escolar Básica del 1° y 2° que reciben almuerzo escolar en el  año 2016</t>
  </si>
  <si>
    <t>Otros Gastos</t>
  </si>
  <si>
    <t xml:space="preserve">1 compromisos contraidos del ejercicio anterior, según planificación </t>
  </si>
  <si>
    <t>11 Aulas en 1)  Esc. Bas. Nº 6.225 Ovenia  2) Esc. Bás. Nº 5.322 Maria Auxiliadora - 3) Esc. Bas. Nº 6.233 Naranjito 4)Col. Nac. San Marcos 5) Esc. Bás.  Nº 6.586 San Marcos.</t>
  </si>
  <si>
    <t>40 Adquisiciones de Equipos de Oficina y Computación</t>
  </si>
  <si>
    <t>4.18. Tebicuary</t>
  </si>
  <si>
    <t>18500 raciones de almuerzo escolar para 185 alumnos de la educación inicial y educación escolar básica del 1 y 2 ciclo matriculados</t>
  </si>
  <si>
    <t>2 Obras de Construcción de Tinglado  en el Escuela Maedy Ritter de Hoeckle de la Ciudad de Loma Pindo según Planificación Municipal 2016</t>
  </si>
  <si>
    <t>1 Obra de Construcción de Salon Auditorio  en el Colegio Delfin Chamorro de la Ciudad de Tebicuary según Planificación Municipal 2016</t>
  </si>
  <si>
    <t>Reparación de 2 baños  en instituciones educativas, según Planificación Municipal 2016</t>
  </si>
  <si>
    <t>18 muebles para el Colegio Delfin Chamorro, 9 escritorios y 9 armarios según la microplanificacion del Ministerio de Educacion año 2016</t>
  </si>
  <si>
    <t>Pago de deudas porAlmuerzo Escolar, según Planificación Municipal 2015</t>
  </si>
  <si>
    <t>2 Pago de Deuda Pendiente del Ejercicio 2015 por construcción de comedor escuela N° 56 Antonio Bosch , según Planificación Municipal</t>
  </si>
  <si>
    <t>5.01. Coronel Oviedo</t>
  </si>
  <si>
    <t xml:space="preserve">Deudas </t>
  </si>
  <si>
    <t>Almuerzo escolar para 1.359  alumnos/as de la Educación Inicial y Educación Escolar Básica del 1° y 2°ciclo, matriculados en el año 2016, según datos del MEC del año 2016.</t>
  </si>
  <si>
    <t>5 Sanitarios a construir en instituciones educativas, según Planificación Municipal 2016</t>
  </si>
  <si>
    <t>8.279 m2 de pavimento pétreo tipo empedrado a ser construídos, según Planificación Municipal 2016</t>
  </si>
  <si>
    <t>1 perforación de pozo artesiano en la Esc. Bás. 7482 Balbina Mendoza de Frutos a realizar, según Planificación Municipal 2016</t>
  </si>
  <si>
    <t>800 Sillas con mesas a ser entregadas en centros educativos, según Planificación Municipal 2016</t>
  </si>
  <si>
    <t>Sillas con mesas</t>
  </si>
  <si>
    <t>27  Proyectos de Inversión para instituciones educativas a ser elaborados, según Planificación Municipal 2016</t>
  </si>
  <si>
    <t>20 aulas a ser refaccionadas en Instituciones educativas, según Planificación Municipal 2016</t>
  </si>
  <si>
    <t>10 sanitarios a ser remodelados en Instituciones educativas, según Planificación Municipal 2016</t>
  </si>
  <si>
    <t xml:space="preserve"> 12 deudas pendientes de pago  por obras realizadas en ejercicios anteriores</t>
  </si>
  <si>
    <t xml:space="preserve">3 Deudas pendientes de pago por gastos corrientes de ejercicios anteriores </t>
  </si>
  <si>
    <t xml:space="preserve">742 alumnos de la Educación Inicial  y Educación Escolar Básica del 1° y 2° Ciclo que recibiran almuerzo escolar, según Planificación Municipal      </t>
  </si>
  <si>
    <t>18 aulas a construir  en escuelas del distrito, segun planificacion municipal</t>
  </si>
  <si>
    <t xml:space="preserve">2 sanitarios a construir en Intituciones Educativas, segun planificacion </t>
  </si>
  <si>
    <t>1 comedor a construir, según Planificación Municipal 2014</t>
  </si>
  <si>
    <t xml:space="preserve">4 Reparaciones varias en distintas instituciones Educativas según planififcación Municipal </t>
  </si>
  <si>
    <t>24 Reparaciones varias - Aulas a realizar, según Planificación Municipal 2015</t>
  </si>
  <si>
    <t>17 Obras  (Reparacioens Varias, en diversas Escuelas del Distrito., según planificación municipal 2016</t>
  </si>
  <si>
    <t>6  aulas a  construir en el año 2016</t>
  </si>
  <si>
    <t xml:space="preserve">6 (seis) de  baños sexados construidos en el año </t>
  </si>
  <si>
    <t xml:space="preserve">3385 metros  cuadrados de Pavimento Pétreo Tipo Empedrado para acceso a Instiruciones Educativas de los alumnos del distrito, según planificación municipal </t>
  </si>
  <si>
    <t>10 Proyectos de Obras de infraestructuras  en  el distrito de cararayao según planificacion del año 2016</t>
  </si>
  <si>
    <t xml:space="preserve">(4cuatro)  de baños refaccionados, reparados, remodelados en el año </t>
  </si>
  <si>
    <t xml:space="preserve">(cuatro) de aulas refaccionadas, reparadas, remodeladas, ampliadas en el año </t>
  </si>
  <si>
    <t>4 aulas a cosntruir en el 2016 según planificacion municipal</t>
  </si>
  <si>
    <t>6 seis de  baños sexados construidos en el año según planificacion Municipal</t>
  </si>
  <si>
    <t>1250  m2 Construccion de camineros en los colegios de la localidad según planificacion</t>
  </si>
  <si>
    <t>Proyectos para obras de infraestructura para la educacion según planificacio del año 2016</t>
  </si>
  <si>
    <t>20 Reparacion de Baños y aulas en escuelas y colegios  en el distrito  según planificacio del año 2016</t>
  </si>
  <si>
    <t>Adquisición de 2 computadora con 3 impresora y 6 armarios para Oficina, 2 Acondicionadores de Aire, 1 Escritorio para Intendencia Municipa, 3 Ventidalores de Techo según Planificación Municipal 2016</t>
  </si>
  <si>
    <t>350 alumnos de la Educación Inicial y Educación Escolar Básica del 1° y 2° que recibirán almuerzo escolar, según Presupuesto Municipal del año 2016</t>
  </si>
  <si>
    <t>6 Aulas a ser construidas en la Esc. Bas. 1422 Maria Auxiliadora, Esc. Bas. 1980 San Isidro,Esc. Bas. 5034 Santo Domingo, Col. Nac. San Miguel, Col. Nac. Espiritu Santo, Esc. Santa Librada y Col. Nac. San Jose Obrero  planificadas para construir en el año 2016</t>
  </si>
  <si>
    <t>Construcción de 1200 M2 de Pavimento Tipo empedrados para el año 2016.</t>
  </si>
  <si>
    <t>12 pizarrones a ser entregados en centros educativos según planificación del 2016</t>
  </si>
  <si>
    <t>200 Sillas a ser entregadas en centros educativos, según Planificación Municipal 2016</t>
  </si>
  <si>
    <t>200 Pupitres a ser entregados en centros educativos, según Planificación Municipal 2016</t>
  </si>
  <si>
    <t>8 escritorios a ser entregadas en centros educativos, según Planificación Municipal 2016</t>
  </si>
  <si>
    <t>13 Ventiladores a ser entregadas en centros educativos, según Planificación Municipal 2016</t>
  </si>
  <si>
    <t>Ventiladores</t>
  </si>
  <si>
    <t>10 Armarios a ser entregados en centros educativos, según Planificación Municipal 2016</t>
  </si>
  <si>
    <t xml:space="preserve">2 Reparaciones de Edilicia de Instituciones Educativas, según planificación </t>
  </si>
  <si>
    <t>406 alumnos/as de la Educación Inicial y Educación Escolar Básica del 1° y 2°, matriculados en el año 2016, según datos del MEC del año 2016.</t>
  </si>
  <si>
    <t>9  aulas a ser construídas en centros educativos del Municipio, según Planificación Municipal 2016.</t>
  </si>
  <si>
    <t>400 Sillas con Pupitres, 17 escritorios y 15 armarios a ser destinados a Entidades Educativas del Distrito en en año 2016</t>
  </si>
  <si>
    <t>Muebles</t>
  </si>
  <si>
    <t>34.200 Raciones a 360 Alumnos/as de la Educación Inicial y Educación Escolar Básica del 1° y 2° Ciclo matriculados en el año 2016, según datos de la Supervisión del MEC del año 2016</t>
  </si>
  <si>
    <t>34200 raciones a 480 Alumnos/as de la Educación Inicial y Educación Escolar Básica del 1° y 2° Ciclo  en distintas instituciones matriculados en el año 2016, según datos de la Supervisión del MEC del año 2016</t>
  </si>
  <si>
    <t>Construcción de 1 aula administrativo de 7,20 * 7,20, colegio Nac. Gral. Bernardino Caballero de la Planta Urbana, según planificación municipal</t>
  </si>
  <si>
    <t xml:space="preserve">Construcción de 5 Aula de 5.80 x 6.80 con techo de tejas, Administrativo de7.20 x 7.20,  Colegio Nac.Gral.Bernardino Caballero de la Planta Urbana, según planificación municipal </t>
  </si>
  <si>
    <t>2 Refacciòn de Bloques de  aulas en la Esc. Bas. 5903"Juliana Fleitas y Esc. Bas. 1736 "Dr. Gaspar Rodriguez de Francia con  Refacción  que representan 100% de lo planificado  a construir en el año 2016.</t>
  </si>
  <si>
    <t>2 Refacciòn de  aulas en la Esc. Escuela "Sagrada Familia y Colegio Cptan. Pablo González Maya  planificado  a construir en el año 2016.</t>
  </si>
  <si>
    <t>2 Refacciòn de dos pabellones en la Escuela Bas. N°3235 "San Ram{on"  planificado  a construir en el año 2016.</t>
  </si>
  <si>
    <t>2 Reparacion de Aula y construcción de un servicio sanitario en la Esc. Bás. N° 1619 planificado  a construir en el año 2016.</t>
  </si>
  <si>
    <t>1  Reparaciones de Aulas en la Esc. Bás. N° 6859 Espiritu Santo que representan 100% de lo planificado  a construir en el año 2016.</t>
  </si>
  <si>
    <t>Construcciones de 4 sanitarios sexado planificados para construir en el ejercicio a las Esc, Bas. Nº 5.903 Juliana Fleitas, Esc. Celso Vera Quiñonez, Col. Nac. Vicente I. Iturbe, y Col. Nac. Sta Ana.</t>
  </si>
  <si>
    <t>Construcción de un bloque de 2 de aulas de 5,80 x5,80 con vigas de Hº Aª y techo de tejas en la Esc. Bàs. Nº 6083 "San Pablo"- del Asent. Mandu`ara.</t>
  </si>
  <si>
    <t>1 Contrucción de sanitario, planificados en el Ejercicio Anterior, en el  Colegio Nac. San Josè.</t>
  </si>
  <si>
    <t>482 alumnos/as de la Educación Inicial y Educación Escolar Básica del 1° y 2°, matriculados en el año 2016, según datos del MEC del año 2016.</t>
  </si>
  <si>
    <t>5  aulas a ser construídas y a ser reparadas  en centros educativos del Municipio, según Planificación Municipal 2016.</t>
  </si>
  <si>
    <t>1 bloque higienico (baño) a ser construido en una institucion educativa de la ciudad, según Planificacion</t>
  </si>
  <si>
    <t>1 cocina comedor a ser construido en una institucion educativa de la ciudad, según Planificacion</t>
  </si>
  <si>
    <t>Cocina Comedor</t>
  </si>
  <si>
    <t>414 alumnos de la Educación Inicial y Educación Escolar Básica del  que recibirán almuerzo escolar, según Presupuesto Planificacion del año 2016.</t>
  </si>
  <si>
    <t>1 Deuda Pendiente Por Provision de almuerzo escolar del ejercicios Anterior del 2016, a ser pagados, según planificación Municipal 2016</t>
  </si>
  <si>
    <t>Construcción de 2 Aulas según MicroPlanificacion , Escuela Basica Nº 2149 Don Jorge Adalberto Soto Varela y Escuela Basica Nº 3145 3 de Febrero Planificados para 2016</t>
  </si>
  <si>
    <t>1 Construcción de sanitarios Sexado, en el Colegio Nacional Inmaculada Concepcion planificadas para el 2016.</t>
  </si>
  <si>
    <t>40 Km de perfilamiento  de caminos que conducen a escuelas de zonas rurales del distrito de San Joaquín.</t>
  </si>
  <si>
    <t>1792 m2 de construccion de empedrado que conducen a instituciones educativas de frente al Colegio Fe y Alegria / 1792 m2 de construccion que conducen a escuelas rurales de distrito de San Joaquin</t>
  </si>
  <si>
    <t>Equipamientos en las Instituciones Publicas</t>
  </si>
  <si>
    <t>300 Sillas a ser entregadas en centros educativos, según Planificación Municipal 2016</t>
  </si>
  <si>
    <t xml:space="preserve">Sillas </t>
  </si>
  <si>
    <t>1 Deuda Pendiente de Capital (Sanitarios) del ejercicios Anterior del 2016, a ser pagados según planificación municipal 2016</t>
  </si>
  <si>
    <t>Pago de Deudas Pendientes de pagos de gastos capital según planificacion municipal 2016</t>
  </si>
  <si>
    <t>348 de alumnos/as de la Educación Inicial y Educación Escolar Básica del 1° y 2 ciclo, matriculados en el año 2016 que recibirán Almuerzo Escolar</t>
  </si>
  <si>
    <t>1 aula construida en el colegio nacional jorge bernardino gorostiaga, según Planificación Municipal 2016</t>
  </si>
  <si>
    <t>1 aula construida en la escuela basica 2255 san rafael, según Planificación Municipal 2016</t>
  </si>
  <si>
    <t>1 cocina comedor construida en la escuela basica 243 estelvina silva de alvarenga, según Planificación Municipal 2016</t>
  </si>
  <si>
    <t>1 cocina comedor construida en la escuela basica 223 edgar rodolfo stanley, según Planificación Municipal 2016</t>
  </si>
  <si>
    <t>1 aula construida en la escuela basica 466 defensores del chaco , según Planificación Municipal 2016</t>
  </si>
  <si>
    <t>10 catorce aulas a ser construidas,  en centros educativos, según Planificación Municipal 2016</t>
  </si>
  <si>
    <t>Mobiliarios</t>
  </si>
  <si>
    <t>100 unidades de sillas y pupitres adquisiridas para centros educativos, según Planificación Municipal 2016</t>
  </si>
  <si>
    <t>600 alumnos de la educacion inicial y educacion escolar basica del 1º y 2º que recibiran almuerzo escolar según presupuesto municipal del año 2016</t>
  </si>
  <si>
    <t>Construccion de 2000 m2 de pavimento tipo empedrado tramo escolar construidas según presupuesto municipal 2016</t>
  </si>
  <si>
    <t>1 aula construida en el colegio nacional divino niño jesus según presupuesto municipal 2016</t>
  </si>
  <si>
    <t>aulas</t>
  </si>
  <si>
    <t>1 reconstruccion de bloques de aulas, comedor y sanitarios en la escuela basica 58 Don Luis Rolando Melgarejo según presupuesto municipal 2016</t>
  </si>
  <si>
    <t>1 aula construida en en la escuela basica mita kuera roga según presupuesto municipal 2016</t>
  </si>
  <si>
    <t>1 aula construida en la escuela basica 3106 san isidro labrador según presupuesto municipal 2016</t>
  </si>
  <si>
    <t>Construccion de 5 aulas según presupuesto municipal 2016</t>
  </si>
  <si>
    <t>550 sillas pupitre para Escuelas Publicas del distrito, según planificacion municipal 2016</t>
  </si>
  <si>
    <t>Sillas Pupitres</t>
  </si>
  <si>
    <t>4  Deudas por construccion y reparacion de aulas a cancelar, según presupuesto municipal 2016</t>
  </si>
  <si>
    <t>1 deuda pagada pendientes de pagos de gastos de capital (Obras)del ejericcio anterior, según Planificación Municipal 2016</t>
  </si>
  <si>
    <t>24132 raciones de almuerzo escolar para 402 alumnos de la educación inicial y educación escolar básica del 1 y 2 ciclo matriculados según planificacion 2016</t>
  </si>
  <si>
    <t>3 deudas pagadas pendientes de pagos de gastos de capital (Obras) del ejercicio fiscal anterior, según Planificación Municipal 2016</t>
  </si>
  <si>
    <t>1.300 alumnos de la Educación Escolar Básica del 1º al 2º ciclo matriculados en el año  con Almuerzo Escolar, según Planificación Municipal 2016</t>
  </si>
  <si>
    <t>10 aulas por construir y reparar en centros educativos, según Planificación Municipal 2016</t>
  </si>
  <si>
    <t>4 Aulas por reparar en el año en centros educativos , según Planificacion Municipal 2016</t>
  </si>
  <si>
    <t>2 Estudios y Proyectos de Inversión de interés comunitario por elaborar(para mejoramiento de espacios publicos y de recreacion), según Planificación Municipal 2016</t>
  </si>
  <si>
    <t>557 Alumnos de la Educación Inicila y  Escolar Básica que recibiran almuerzo según planificación municipal año 2016</t>
  </si>
  <si>
    <t>Construcción de 1 Cocina Comedor de 18,9 x 8,9 planificado para el 2015/2016</t>
  </si>
  <si>
    <t>Construcción de 1 Aula de 5,8 x 6,8 planificado para el 2016; Construcción de 1 Aula de 5,8 x 6,8 planificado para el 2016; Construcción de 1 Aula de 5,8 x 6,8 planificado para el 2016</t>
  </si>
  <si>
    <t>35000 raciones de almuerzo escolar para 345 alumnos de la educación inicial y educación escolar básica del 1 y 2 ciclo matriculados</t>
  </si>
  <si>
    <t>1 aula construida en la escuela basica 2765 san francisco de jose domingo ocamposDepartamento de Caaguazú,  según Planificación Municipal 2016</t>
  </si>
  <si>
    <t xml:space="preserve"> 1 bloque de baños reparadas  en en colegio nacional san francisco de jose domingo ocampos Departamento de Caaguazú,  según Planificación Municipal 2016</t>
  </si>
  <si>
    <t>1 bloque de aulas reparadas  en en colegio nacional prof dr juan jose soler de jose domingo ocampos Departamento de Caaguazú,  según Planificación Municipal 2016</t>
  </si>
  <si>
    <t xml:space="preserve"> Aulas</t>
  </si>
  <si>
    <t>384 m3 de construccion de muro de contencion y canal a cielo abierto en el acceso a la escuela 1834 jose asuncion flores de jose domingo ocampos Departamento de Caaguazú,  según Planificación Municipal 2016</t>
  </si>
  <si>
    <t>8 aulas a ser construidas en instituciones educativas del Distrito de JDO Departamento de Caaguazú,  según Planificación Municipal 2016</t>
  </si>
  <si>
    <t>325 unidades de sillas pedagogicas con pupitres individuales para varias esculeas del distrito de jose domingo ocampos Departamento de Caaguazú,  según Planificación Municipal 2016</t>
  </si>
  <si>
    <t xml:space="preserve">4 Pagos de Deudas Pendientes del Ejercicio 2015 por construcción de Aulas y Sanitarios </t>
  </si>
  <si>
    <t>551 alumnos/as de la Educación Inicial y Educación Escolar Básica del 1° y 2°, matriculados, según datos del MEC del año 2016</t>
  </si>
  <si>
    <t>3 Construccion de sanitarios, según planificación 2016</t>
  </si>
  <si>
    <t xml:space="preserve">335 Sillas entregadas en centros educativos, según Planificación Municipal 2016
</t>
  </si>
  <si>
    <t>335 Mesas entregadas en centros educativos, según Planificación Municipal 2016</t>
  </si>
  <si>
    <t>10 Armarios entregadas en centros educativos, según Planificación Municipal 2016</t>
  </si>
  <si>
    <t>300 de alumnos/as de la Educación Inicial y Educación Escolar Básica del 1° y 2 ciclo, matriculados en el año  que reciben Almuerzo Escolar según planificacion</t>
  </si>
  <si>
    <t>20 Proyectos para obras de infraestructura para la construccion de Aulas, reparaciones en el distrito de la Ciudad de la Pastora según planificacion</t>
  </si>
  <si>
    <t xml:space="preserve">30 Km de Reparacion de caminos vecinales, accesos a Instiruciones Educativas  según planificación Municipal para las comunidades San Juan San Antonio, Santa Lucia y San Rafael </t>
  </si>
  <si>
    <t>0</t>
  </si>
  <si>
    <t xml:space="preserve">6 Costrucciones de aulas en entidades educativas de la ciudad de 3 de Febrero, según planificación Municipal </t>
  </si>
  <si>
    <t xml:space="preserve">70 Km  Perfilado de camino para estidades educativas de la ciudad, según planificación Municipal </t>
  </si>
  <si>
    <t xml:space="preserve">340 Alumnos con Almuerzo Escolar  para las Escuelas de Santa Ines, San Lorenzo,  San Miguel y San Luis, Según planificación </t>
  </si>
  <si>
    <t>300 alumnos/as de la Educación Inicial y Educación Escolar Básica del 1° y 2°, matriculados en el año 2016, según datos del MEC</t>
  </si>
  <si>
    <t>1 (una) Reparación de Aulas Colegio Nacional Libertador Simon Bolivar, según planificación municipal 2016</t>
  </si>
  <si>
    <t>1 (una) Reparación de Aulas Escuela Básica Costa Villalba, según planificación municipal 2016</t>
  </si>
  <si>
    <t>1 (una) Reparación de SSHH en el Colegio Nacional Empalado, según planificación municipal 2016</t>
  </si>
  <si>
    <t>1 (una) Construcción de Aula Nueva en la Escuela Básica José del Pilar Ibañez, según planificación municipal 2016</t>
  </si>
  <si>
    <t>1 (una) Construcción de Cercado Perimetral en la Escuela basica Nº 990 Libertador Simon Bolivar, según planificación municipal 2016</t>
  </si>
  <si>
    <t>6 (seis) reparacón de Aulas en la Escuela Basica Nº 3792 Santa Ana, según planificación municipal 2016</t>
  </si>
  <si>
    <t>1 (una) reparacón de SSHH en la Escuela Basica Nº 3792 Santa Ana, según planificación municipal 2016</t>
  </si>
  <si>
    <t>200 (ML) reparacón de Cercado en la Escuela Basica Nº 3792 Santa Ana, según planificación municipal 2016</t>
  </si>
  <si>
    <t>1 (una) cancelación de Deuda Por construccion de Sanitario en la Escuela Basica Nº 6144 Jose del Pilar Ibañez, construidas en el año 2015 y cancelada en el presente ejercicio, según planificación municipal 2016</t>
  </si>
  <si>
    <t>1  (una) Obra de Mantenimiento de Caminos Escolares planificados, realizado según planificación municipal 2016</t>
  </si>
  <si>
    <t>1000 alumnos/as de la Educación Inicial y Educación Escolar Básica del 1° y 2°, matriculados en el año 2016, según datos del MEC del año 2016.</t>
  </si>
  <si>
    <t>mts</t>
  </si>
  <si>
    <t>1 Construccion de Aula en la escuela Bas. N° 3118 "Santo Domingo" construida, según planificación</t>
  </si>
  <si>
    <t>2 Construccion de 2 Aulas Escuela Bas. N° 5709 "Ignacio Ovelar" construida, según planificación</t>
  </si>
  <si>
    <t>2 Baños, 1 (un) Baño en el Colegio Tecnico Contable y 1 (un) Baño en el Colegio Virgen de Candelaria construida, según planificación</t>
  </si>
  <si>
    <t>1 Construccion de Aulas a construir, según planificación</t>
  </si>
  <si>
    <t>1500 alumnos de la Educación Inicial y Educación Escolar Básica de 20 Instituciones que recibirán almuerzo escolar, según Presupuesto Municipal del año 2016</t>
  </si>
  <si>
    <t>Construcción de 5 aulas nuevas, según Planificación Municipal 2016</t>
  </si>
  <si>
    <t>Remodelación, refacción y ampliación de 17 Aulas, según Planificación Municipal 2016</t>
  </si>
  <si>
    <t>589 alumnos/as de la Educación Inicial y Educación Escolar Básica del 1° y 2°, que reciben almuerzo según planificación año 2016.</t>
  </si>
  <si>
    <t>5 aulas nuevas a ser construidas en instituciones educativas, según Planificación Municipal 2016</t>
  </si>
  <si>
    <t>2 sanitarios a ser construidos, según planificación 2016</t>
  </si>
  <si>
    <t>4 aulas a ser reparadas conforme planificación 2016</t>
  </si>
  <si>
    <t>3 Kilometros de caminos de escuelas enripiados en el año 2016 según planificación</t>
  </si>
  <si>
    <t>323 sillas con pupitres a adquirir para instituciones educativas de Abai conforme planificación 2016</t>
  </si>
  <si>
    <t>262 Alumnos en las 1) Escuela San Jorge-  2) Escuela Rosalino Irepa - 3) Escuela Santa Rosa 4) Escuela San Isidro 5) Escuela Asentamiento Maria Auxiliadora</t>
  </si>
  <si>
    <t>Construcción de 5 Aulas en: 1) Esc. Bas. Maria Auxiliadora 2) Esc. Bas. Santa Rosa 3) Esc. Bas. Juan Blas Ayala Mesa 4) Esc. Bas. San Isidro 5) Esc. Bas. Maria P. Cubilla de Diaz</t>
  </si>
  <si>
    <t>Col. Nac. Presb. Juan Guillermo Díaz, Esc. Bás. No 222 Maria Petrona Cubilla, Esc. Bás. Defensores del Chaco Torres Cué, Col. Nac. Defensores del Chaco Torres Cué, Col. Nac. Guillermo Brítez Yerovia Tercera Linea.</t>
  </si>
  <si>
    <t>Fotocopiadoras</t>
  </si>
  <si>
    <t>2 pago por deuda por Proyecto de Infraestructura en Educación, según planificación municipal 2016</t>
  </si>
  <si>
    <t>150 alumnos de la Educación Inicial y Educación Escolar Básica de 4 Instituciones que recibirán almuerzo escolar, según Presupuesto Municipal del año 2016</t>
  </si>
  <si>
    <t>450 alumnos de la Educación Inicial y Educación Escolar Básica del 1° y 2° que recibirán almuerzo escolar, según Presupuesto Municipal del año 2016</t>
  </si>
  <si>
    <t xml:space="preserve">2 Deudas Pendientes Corrientes, según planificación municipal </t>
  </si>
  <si>
    <t xml:space="preserve">8 Construcciones de Aulas nuevas a construir según microplanificación y Presupuesto 2016 </t>
  </si>
  <si>
    <t>1 Deudas Contraídas en Ejercicios Anteriores Por Obras Municipales se Presupuesto</t>
  </si>
  <si>
    <t>255 alumnos de la Educación Inicial y Educación Escolar Básica del 1° y 2° que recibirán almuerzo escolar, según Presupuesto Municipal del año 2016</t>
  </si>
  <si>
    <t>Refacción de 2 Aulas en 1 Escuela, según Planificación Municipal 2016</t>
  </si>
  <si>
    <t>Construcción de 1 sanitario en centros educativos, según Planificación Municipal 2016</t>
  </si>
  <si>
    <t>Construcción de 2 Cocina comedor en centros educativos, según Planificación Municipal 2016</t>
  </si>
  <si>
    <t>1 Deuda a pagar por 1 cocina comedor construida en el año 2015, según Planificación Municipal 2016</t>
  </si>
  <si>
    <t>Adquisición de 132 mesitas y 132 sillas para entregar en centros educativos, según Planificación Municipal 2016</t>
  </si>
  <si>
    <t>Adquisición de 21 armarios para entregar educativos, según Planificación Municipal 2016</t>
  </si>
  <si>
    <t>Adquisición de 11 estantes para entregar en centros educativos, según Planificación Municipal 2016</t>
  </si>
  <si>
    <t>Estantes</t>
  </si>
  <si>
    <t>Adquisición de 12 escritorio para entregar en centros educativos, según Planificación Municipal 2016</t>
  </si>
  <si>
    <t>5.05. Santa Rosa del Mbutuy</t>
  </si>
  <si>
    <t>5.06.  Juan Manuel Frutos</t>
  </si>
  <si>
    <t>541 unidades de sillas, mesa pupitre, armario, mesa para reunión, mesa para computadora, planificadas a comprar para Escuelas Públicas en el año 2016</t>
  </si>
  <si>
    <t xml:space="preserve">5.07. Repatriación </t>
  </si>
  <si>
    <t>5.08  Nueva Londres</t>
  </si>
  <si>
    <t>5.12. Juan Eulogio Estigarribia</t>
  </si>
  <si>
    <t>5.13.  R.I. 3 Corrales</t>
  </si>
  <si>
    <t>5.14. Raul Arsenio Oviedo</t>
  </si>
  <si>
    <t>5.17. La Pastora</t>
  </si>
  <si>
    <t>5.18.  3 de Febrero</t>
  </si>
  <si>
    <t>5.20. Vaqueria</t>
  </si>
  <si>
    <t>9 aulas construidas en varias instituciones educativas de educación inicial y educación escolar básica del 1 y 2 ciclo, según Planificación Municipal 2016</t>
  </si>
  <si>
    <t>1 Mejoramiento y Restauración de Plaza de la Colonia Casilla Dos realizado en el año  2016</t>
  </si>
  <si>
    <t>2</t>
  </si>
  <si>
    <t>770 alumnos/as de la Educación Inicial y Educación Escolar Básica del 1° y 2°, matriculados en el año, según datos del MEC del año 2016.</t>
  </si>
  <si>
    <t>4 aulas para refacción, reparación, remodelación, y ampliada,   planificado en el año 2.016.</t>
  </si>
  <si>
    <t>Construcción de 2 Cocinas Comedor, planificados en el año 2.016.</t>
  </si>
  <si>
    <t>Adquisición de 500 Sillas a ser entregadas en centros educativos, según Planificación Municipal 2016</t>
  </si>
  <si>
    <t>5.22. Nueva Toledo</t>
  </si>
  <si>
    <t xml:space="preserve">Almuerzo Escolar </t>
  </si>
  <si>
    <t>433 alumnos/as de la Educación Inicial y Educación Escolar Básica del 1° y 2° matriculados en el año 2016, en las escuelas: Fulgencio Yegros, San Agustin, San Juan Bautista, San Cristobal.</t>
  </si>
  <si>
    <t>Construcción de 5 Aulas nuevas: Escuela Blas N° 5067 San Cristobal, Escuela Bas. N° 3964 Virgen de Caacupe, Escuela Bas. N° 3960 S/N Agricola Tembiapora 2, según Planificación Municipal 2016.</t>
  </si>
  <si>
    <t>Construcción de 1 Sanitario: Escuela Bas. N° 3961 "María R. Mística", según planificación 2016.</t>
  </si>
  <si>
    <t>Reparación de 3 Aulas, Colegio San Jorge, Tembiapora, Escuela 923, según planificación 2015.</t>
  </si>
  <si>
    <t>300 Sillas a ser  entregadas en centros educativos, según Planificación Municipal 2015.</t>
  </si>
  <si>
    <t>300 pupitres a ser entregadas en centros educativos, según Planificación Municipal 2014.</t>
  </si>
  <si>
    <t>365  Alumnos que reciben Almuerzo Escolar para  alumnos/as de la Educación Inicial y Educación Escolar Básica del 1° y 2 ciclo, matriculados en el año  que reciben Almuerzo Escolar, en 6 Instituciones Educativas del Distrito</t>
  </si>
  <si>
    <t>4 Reestructuracion y Mantenimiento de Baños y Cocinas de Escuelas y Colegios , según Planificacion 2016</t>
  </si>
  <si>
    <t>12 Construcion de Aulas para Escuelas y Colegios, según planificacion para el año 2016</t>
  </si>
  <si>
    <t>353 (trescientos cincuenta y tres) alumnos/as de la Educación Inicial y Educación Escolar Básica del 1° y 2°, matriculados en el año 2014,  a ser beneficiados según datos del MEC del año 2016.</t>
  </si>
  <si>
    <t xml:space="preserve">2 (dos) baños a construir  en centros educativos, según Planificación Municipal 2016
</t>
  </si>
  <si>
    <t xml:space="preserve">7 Aulas a ser refaccionadas en centros educativos, según Planificación Municipal 2016
</t>
  </si>
  <si>
    <t xml:space="preserve">3  Baños a repararse en centros educativos, según Planificación Municipal 2016
</t>
  </si>
  <si>
    <t xml:space="preserve">2 (dos)   Cocina-comedor a construir en centros educativos, según Planificación Municipal 2016 del MEC.
</t>
  </si>
  <si>
    <t>Cocinas</t>
  </si>
  <si>
    <t xml:space="preserve">19  Armarios a ser adquiridos y a entregar a centros educativos, según Planificación Municipal 2016
</t>
  </si>
  <si>
    <t>33 Mesas para Escritorio a ser entregadas en centros educativos, según Planificación Municipal 2016</t>
  </si>
  <si>
    <t>Mesa</t>
  </si>
  <si>
    <t>6 sillas para Escritorio a ser entregadas en centros educativos, según Planificación Municipal 2016</t>
  </si>
  <si>
    <t>153 sillas con mesas ( 140 sillas con 13 mesas con caballete)   planificados a entregar en el año 2016, según Microplanificación de la Oferta Educativa aprobada por el MEC</t>
  </si>
  <si>
    <t>85 sillas con mesas  planificados a entregar en el año 2016, según Microplanificación de la Oferta Educativa aprobada por el MEC</t>
  </si>
  <si>
    <t>581 sillas con pupitres  planificados a entregar en el año 2016, según Microplanificación de la Oferta Educativa aprobada por el MEC</t>
  </si>
  <si>
    <t>Sillas con pupitres</t>
  </si>
  <si>
    <t>474 alumnos/as de la Educación Inicial y Educación Escolar Básica del 1° y 2°, matriculados en el año 2016, según datos del MEC</t>
  </si>
  <si>
    <t>20 (veinte) aulas a construir en centros educativos del Municipio, según Planificación Municipal 2016</t>
  </si>
  <si>
    <t>6 (seis) baños construidos, remodelados y ampliados en centros educativos, según Planificación Municipal 2016</t>
  </si>
  <si>
    <t>285 alumnos/as de la Educación Inicial y Educación Escolar Básica del 1° y 2°, matriculados en el año 2016, según datos del MEC del año 2016.</t>
  </si>
  <si>
    <t>8 (ocho) aulas a terminar y construir en centros educativos del Municipio, según Planificación Municipal 2016</t>
  </si>
  <si>
    <t>1 (un) Sanitario a construir en centros educativos, según Planificación Municipal 2016</t>
  </si>
  <si>
    <t>40 (cuarenta) Sillas a ser entregadas en centros educativos, según Planificación Municipal 2016</t>
  </si>
  <si>
    <t>3 (tres) unidades de  Armarios a ser entregados en centros educativos, según Planificación Municipal 2016</t>
  </si>
  <si>
    <t>153 alumnos de la Educación Inicial y Educación Escolar Básica del 1° y 2° que recibiran almuerzo escolar  en el año 2016</t>
  </si>
  <si>
    <t>2 Sanitarios con Mantenimiento y reparacion realizado en la Escuela Basica Virgen de los Dolores según Planificación Municipal 2016</t>
  </si>
  <si>
    <t>Construccion 1 Obra planificada para Construccion de Complejo Deportivo (20 % de Otras Inverisones  en el año 2016</t>
  </si>
  <si>
    <t>Construcción de  1 Cercado perimetral escolar a construir en centros educativos, según Planificación Municipal 2016</t>
  </si>
  <si>
    <t>Construccion de 1 Comedor escolar a construir en centros educativos, según Planificación Municipal 2016</t>
  </si>
  <si>
    <t>Construccion de 3 aulas planificadas para Instituciones Educativas para el año 2016</t>
  </si>
  <si>
    <t>1 Equipamiento de gimnasio al aire libre, (20 % de Otras Inversiones ) planificadas para el año 2016</t>
  </si>
  <si>
    <t>Equipo</t>
  </si>
  <si>
    <t>Almuerzo Escolar para  246 alumnos/as de la Educación Inicial y Educación Escolar Básica del 1° y 2 ciclo, matriculados en el año  que reciben Almuerzo Escolar, en 3 Instituciones Educativas del Distrito</t>
  </si>
  <si>
    <t>Construccion de 3 baños sexados para Instituciones Educativas</t>
  </si>
  <si>
    <t>Reparación de 8 Aulas en Instituciones Educativas para realizar mantenimiento y reparaciones varias</t>
  </si>
  <si>
    <t>Adquisición de 15 mobiliarios varios a ser  entregadas en el año 2016 a Instituciones Educativas</t>
  </si>
  <si>
    <t>Adquisición de 40 Equipos informáticos a ser entregados en el año 2016</t>
  </si>
  <si>
    <t>Almuerzo Escolar para 321  alumnos/as de la Educación Inicial y Educación Escolar Básica del 1° y 2 ciclo, matriculados en el año  que reciben Almuerzo Escolar, en 4 Instituciones Educativas del Distrito</t>
  </si>
  <si>
    <t>Construcción de 2 aulas en el Colegio Sagrao Corazon de Jesus  para construir en el año</t>
  </si>
  <si>
    <t>Construcción de 2 aulas en el Centro Educativo 8-5  y Sede Tutorial   para construir en el año</t>
  </si>
  <si>
    <t>Construcción de 3 aulas en la Escuela Basica 2358 San Jose Ita Moroti  para construir en el año</t>
  </si>
  <si>
    <t>Construcción de 2 cercado perimetral  para construir en el año</t>
  </si>
  <si>
    <t>Construcción de 1 aulas en la Escuela Basica 6645  Odilon Gomez  para construir en el año</t>
  </si>
  <si>
    <t>Construccion de 1 Baño Sexado en la Escuela Basica 2356 Bonifacio Vazquez</t>
  </si>
  <si>
    <t>1 Construccion de Sanitarios Sexados en Instituciones Educativas</t>
  </si>
  <si>
    <t>1 Construccion de Aula Tipo Taller construido en el Isntituto Silvano Ortellado Flores</t>
  </si>
  <si>
    <t xml:space="preserve">Aula </t>
  </si>
  <si>
    <t>Construcción de 2 aulas en el Instituto Silvano Ortellado Flores  Odilon Gomez  para construir en el año</t>
  </si>
  <si>
    <t>Construcción de 1 Aula Nivel Inicial  para construir en el año 2016</t>
  </si>
  <si>
    <t>Adquisición de 20 Equipos de Computación para Instituciones Educativas</t>
  </si>
  <si>
    <t xml:space="preserve">1.700 Alumnos/as de la Educación Inicial y Educación Escolar Básica del 1º y 2º ciclos, que reciben almuerzo escolar </t>
  </si>
  <si>
    <t>1 Construccion de Sanitario Escolar planificados para construir en el año 2016</t>
  </si>
  <si>
    <t>Reparacion de 3 Locales  Escolares, según planificación municipal 2016</t>
  </si>
  <si>
    <t>Construcción 1 Comedor Escolar, según planificación municipal</t>
  </si>
  <si>
    <t>Comedor / Cocina</t>
  </si>
  <si>
    <t>4 Estudios de Proyectos de Inversión  para la Construccion de Sanitarios Escolares (1),  Reparacion de Locales Escolares (3)</t>
  </si>
  <si>
    <t xml:space="preserve"> 4.500 m2 Construcción de Empedrados planificados durante el año 2016</t>
  </si>
  <si>
    <t>1 Estudios de Proyectos de Inversión  para la Construccion de 4500 m2 de Empedrados</t>
  </si>
  <si>
    <t>2 Construcción de cocinas/comedor (en la Escuela 238 Gral. Eduvigis Díaz y Escuela 5335 San Francisco de Asís:</t>
  </si>
  <si>
    <t>Construcciòn de 2 Cercado perimentral en Colegio Nal Florideño y Escuela San Francisco</t>
  </si>
  <si>
    <t>Cercados Perimetrales</t>
  </si>
  <si>
    <t>Reparación de 10 aulas  en 1 escuela y 1 colegio</t>
  </si>
  <si>
    <t>Aquisición de 180 sillas con pupitres y mesas p/prescolar.</t>
  </si>
  <si>
    <t>Provisión de almuerzo a 193 alumnos de la Escuela 238 Gral. Díaz de Villa Florida</t>
  </si>
  <si>
    <t>395 Alumnos que Reciben Almuerzo Escolar que representan el 85% de 463 Alumnos Matriculados en el 2016</t>
  </si>
  <si>
    <t>Construcción de 5 Nuevas Aulas según presupuesto 2016</t>
  </si>
  <si>
    <t>25 aire acondicionados  a ser adquiridas en el ejercicio fiscal</t>
  </si>
  <si>
    <t>Reparación de 500 km de Caminos Acceso a Locales Escolares, según planificación municipal 2016</t>
  </si>
  <si>
    <t>08.01. San Juan Bautista</t>
  </si>
  <si>
    <t>08.  Misiones</t>
  </si>
  <si>
    <t>08.02. Ayolas</t>
  </si>
  <si>
    <t>08. Misiones</t>
  </si>
  <si>
    <t xml:space="preserve">5  aulas a construir en centros educativos del Municipio, según Planificación Municipal 2016
</t>
  </si>
  <si>
    <t>08.03. San Ignacio</t>
  </si>
  <si>
    <t>2574 alumnos/as de la Educación Inicial y Educación Escolar Básica del 1° y 2°, matriculados en el año 2016, y que forman parte del listado remitidos por el MEC, mediante Microplanificación año 2016</t>
  </si>
  <si>
    <t>2 deudas por Provision de Almuerzo Escolar según Planificacion Municipal 2016.-</t>
  </si>
  <si>
    <t>3 Sanitarios a ser construidos en centros educativos, según planificacion  Municipal 2016.</t>
  </si>
  <si>
    <t>3 Aulas a ser refaccionadas en centros educativos, según Planificación Municipal 2016 y  microplanificación del MEC</t>
  </si>
  <si>
    <t xml:space="preserve">8espacios públicos, urbanos, plazas y parques existentes en la jurisdicción de la municipalidad en el año 2016 </t>
  </si>
  <si>
    <t>280 sillas   para alumnos entregadas en centros educativos, según Planificación Municipal 2016.</t>
  </si>
  <si>
    <t xml:space="preserve"> 280 pupitres  para alumnos entregadas en centros educativos, según Planificación Municipal 2016.</t>
  </si>
  <si>
    <t>Pago de 2 Construcciones de Aulas  y  1 de supervision educativa construidas en el año 2015 s/ planificacion municipal 2016.</t>
  </si>
  <si>
    <t>650 alumnos de la Educación Inicial y Educación Escolar Básica de  Instituciones que recibirán almuerzo escolar, según Presupuesto Municipal del año 2016</t>
  </si>
  <si>
    <t>Construccion de 2400 mts2 de empedrado en calles de la ciudad, según Presupuesto Municipal 2016</t>
  </si>
  <si>
    <t>Construcción de 10 aulas nuevas, según Planificación Municipal 2016</t>
  </si>
  <si>
    <t>Equipos de Oficina</t>
  </si>
  <si>
    <t xml:space="preserve">957 Alumnos que recibiran almuerzo escolar según planificación. Distribución del Almuerzo Escolar en las 11 Instituciones Educativas del distrito de F. Yegros, </t>
  </si>
  <si>
    <t xml:space="preserve"> 1 Obras de Reparaciones  previstos para el ejercicio fiscal 2016</t>
  </si>
  <si>
    <t>1 construcción de comedor prevista para el Ejercicio 2016</t>
  </si>
  <si>
    <t>1 sanitado sexado reparado según lo planificado</t>
  </si>
  <si>
    <t xml:space="preserve"> 1 cercado perimetral a construir, según plainificación Municipal 2016</t>
  </si>
  <si>
    <t xml:space="preserve"> 1 aula a ser construida, según planificación Municipal 2016</t>
  </si>
  <si>
    <t xml:space="preserve"> 1 Sanitarios a ser construida, según planificación Municipal 2016</t>
  </si>
  <si>
    <t xml:space="preserve"> 4 Equipos adquiridos de acuerdo a planificación</t>
  </si>
  <si>
    <t xml:space="preserve"> 2 adquisiciones de bebederos de acuerdo a la planificación</t>
  </si>
  <si>
    <t>237 Alumnos/as de la Educación Inicial y Educación Escolar Básica del 1° y 2°, matriculados en el año 2016</t>
  </si>
  <si>
    <t>9 Aulas a ser construidas en centros educativos, según Planificación Municipal 2016</t>
  </si>
  <si>
    <t>2 sanitarios a ser construidos en centros educativos, según Planificación Municipal 2016</t>
  </si>
  <si>
    <t>4 Reparación de Sanitarios a ser realizados, según planificación Municipal</t>
  </si>
  <si>
    <t>Reparación y Refacción de 6 Aulas en 3 centros educativos, según Planificación Municipal 2016</t>
  </si>
  <si>
    <t>400 Sillas entregadas en centros educativos, según Planificación Municipal 2016</t>
  </si>
  <si>
    <t>1 Deudas a pagar por provision de almuerzo escolar , según Planificación Municipal 2016</t>
  </si>
  <si>
    <t>254  Alumnos de la Educacion Inicial y Escolar Básica  del 1° y 2° ciclo  que reciben almuerzo escolar en el año 2016</t>
  </si>
  <si>
    <t>05 aulas construidas en l distrito s/ planificacion 2016</t>
  </si>
  <si>
    <t>3 Deudas a pagar por Aulas a ser reparadas y refaccionadas en centros educativos, según Planificación Municipal 2016</t>
  </si>
  <si>
    <t>08.04.  San Miguel</t>
  </si>
  <si>
    <t>08.05. San Patricio</t>
  </si>
  <si>
    <t>08.07. Santa Rosa Misiones</t>
  </si>
  <si>
    <t>08.08. Santiago</t>
  </si>
  <si>
    <t>08.09. Villa Florida</t>
  </si>
  <si>
    <t>09. Paraguari</t>
  </si>
  <si>
    <t>Proyectos de Infraestructuras en Educación</t>
  </si>
  <si>
    <t>003.</t>
  </si>
  <si>
    <t>5 Construcciones de aulas nuevas, según planificación año 2016</t>
  </si>
  <si>
    <t>1 Construcción de un sanitario nuevo, según planificación año 2016</t>
  </si>
  <si>
    <t>Refacciones de bloques de aulas, según planificación año 2016</t>
  </si>
  <si>
    <t>321 alumnos de Educación Escolar Básica matriculados para el año 2016</t>
  </si>
  <si>
    <t>300 alumnos de la Educación Inicial y Educación Escolar Básica  que recibirán almuerzo escolar planificados para el año 2016. Según Presupuesto Municipal.</t>
  </si>
  <si>
    <t>10 Aulas a refaccionar en el centro educativo, según administracion municipal 2016.</t>
  </si>
  <si>
    <t>Construcción de 640 metros cuadrados de  empedrados para acceso a Instituciones Escolares, según Planificación Municipal 2016</t>
  </si>
  <si>
    <t>Adquisiciones de 3 Equipos de informática , según Planificación Municipal 2016</t>
  </si>
  <si>
    <t>149 alumnos/as de la Educación Inicial y Educación Escolar Básica del 1° y 2° a los que se les proveera Almuerzo Escolar en el año 2016</t>
  </si>
  <si>
    <t>Construccion de 1 sanitario tipo MEC en la esc. basica Nº 6504 Venancia Arzamendia según planificacion 2016.</t>
  </si>
  <si>
    <t xml:space="preserve">4 Obras Refaccion varias en 5 Escuelas del Distrito ( Esc. Bas. Nº 5371 Espiritu Santo, Esc. Bas. Nº 2798 San Roque Gonzalez, Esc. Basica Nº 6875 Virgen Medalla Milagrosa, Esc. Basica Nº 6504 Venancia Arzamendia - Itape) </t>
  </si>
  <si>
    <t>Construcción de 3127 m2 de empedrado en la calle Tte Vera de la ciudad, según planificación  2016</t>
  </si>
  <si>
    <t xml:space="preserve">Adquisición de 1 desmalezadora para Entidades Educativas, según ´planificación municipal </t>
  </si>
  <si>
    <t xml:space="preserve">Adquisición de 1 Computadoras  para Entidades Educativas, según ´planificación municipal </t>
  </si>
  <si>
    <t xml:space="preserve">Reparaciones Mayores  de 1 Aula en Instituciones Educativas, según ´planificación municipal </t>
  </si>
  <si>
    <t>3 Deudas por Previsión de rubro  para contratos de  Construcción  y Reparaciones de aulas del periodo 2015 ( contratos plurianuales) que serán cancelados en el periodo vigente  según planificación 2016</t>
  </si>
  <si>
    <t>1 Obras de infraestructura en inversion y desarrollo 20% cercado perimetral esc 128, según presupuesto municipal 2016</t>
  </si>
  <si>
    <t>1 Aula para oficina administrativa del colegio nacional agustina miranda gonzalez, según presupuesto municipal 2016</t>
  </si>
  <si>
    <t>1 bloque de sanitarios construida en la escuela basica 4478, según presupuesto municipal 2016</t>
  </si>
  <si>
    <t>5 aulas a ser construcidas en varias instituciones educativas del sector publico, según presupuesto municipal 2016</t>
  </si>
  <si>
    <t>200 unidades de sillas con pupitres para varias escuelas del distrito de la colmena según presupuesto municipal 2016</t>
  </si>
  <si>
    <t>pupitres</t>
  </si>
  <si>
    <t>255 alumnos/as de la Educación Inicial y Educación Escolar Básica del 1° y 2°, proyectados para que reciban almuerzo escolar.</t>
  </si>
  <si>
    <t>3 Refacciones de aulas en la Esc. Boqueron  planificadas en el periodo 2016,</t>
  </si>
  <si>
    <t>Construcción de   4 Aulas Tipo MEC, planificados para el 2016</t>
  </si>
  <si>
    <t>Construcción de 1 Comedor Tipo MEC, planificados para el 2016</t>
  </si>
  <si>
    <t>2.400 m2  de  Construcción de empedrado en la calle Dolores Ferreira Vda de Ayala, Calle Mayor Vera y Benjmin Aceval  plnificadas en el año 2016</t>
  </si>
  <si>
    <t>1250 m2  de  Construcción de empedrado en la calle Mayor Vera y Libertadl  planificadas en el año 2016</t>
  </si>
  <si>
    <t>1360 m2  de  Construcción de empedrado en la calle Benjamin Aceval  planificadas en el año 2016</t>
  </si>
  <si>
    <t>Adquisición de 1 herramientas planificadas en el año 2016</t>
  </si>
  <si>
    <t>Adquisición de 1 equipos de oficina  para Entidades Educativas</t>
  </si>
  <si>
    <t xml:space="preserve">Reparaciones Mayores de 1 Aula en Instituciones Educativas, según planificación </t>
  </si>
  <si>
    <t>4 Deuda a pagar (Previsión de rubro para  cancelación de contratos) según planificación para el periodo 2016.</t>
  </si>
  <si>
    <t>33700 raciones X 100 dias a 337 alumnos/as de la  Educación Escolar Básica del 1° y 2° Ciclo matriculados, según datos de la planilla de Microplanificación</t>
  </si>
  <si>
    <t>Construcción de 4 aulas nuevas según planificación 2016</t>
  </si>
  <si>
    <t>Reparación de 9 aulas, según planificación 2016</t>
  </si>
  <si>
    <t xml:space="preserve">280  m2 de Construccion de area de gimnasio en la Plaza Mayor Gral. Jose Eduvigis Diaz, según planificación municipal </t>
  </si>
  <si>
    <t>Adquisicion de 100 sillas con pupitre para para los alumnos ,15 sillas para docentres y 15 escritorio con 2 cajones para docentes a adquirir en el año 2016</t>
  </si>
  <si>
    <t xml:space="preserve">Adquisicion de 13 equipos de gimnasio para la plaza publica  Gral. Jose Eduvigis Diaz, según planificación municipal </t>
  </si>
  <si>
    <t>856 alumnos/as de la Educación Inicial y Educación Escolar Básica del 1° y 2°, proyectados para que reciban almuerzo escolar en el periodo 2016</t>
  </si>
  <si>
    <t>1 Construcción de preescolar en la Escuela Basica Nº 325 DOÑA MARIA LUZ BELLA FLEITAS según planificacion municipal 2016</t>
  </si>
  <si>
    <t>1 Construcción de preescolar en la Escuela Basica Nº 531 VIRGEN MARIA AUXILIADORA según planificacion municipal 2016</t>
  </si>
  <si>
    <t>Reparacion de bloques de tres aulas  escuela basica 5369 BERNARDO AYALA según planificacion municipal 2016</t>
  </si>
  <si>
    <t>Reparacion de bloques de dos aulas  escuela basica 5369 BERNARDO AYALA según planificacion municipal 2016</t>
  </si>
  <si>
    <t xml:space="preserve">5 Construcción de aulas en varias instituciones educativas del distrito de quiindy según planificación municipal 2016 </t>
  </si>
  <si>
    <t xml:space="preserve">3 unidades de equipos y herramientas adquiridas para instituciones educativas, según planificación municipal 2016 </t>
  </si>
  <si>
    <t xml:space="preserve">3 unidades de equipos de oficina para instituciones educativas, según planificación </t>
  </si>
  <si>
    <t>3 servicios de reparaciones de vehiculos y maquinarias, según planificación municipal 2016</t>
  </si>
  <si>
    <t>1 Deudas a ser pagadas por culminación de varias obras con contratos en el periodo 2015.</t>
  </si>
  <si>
    <t>251 alumnos/as de la Educación Inicial y Educación Escolar Básica del 1° y 2°, matriculados en el año 2016, según datos del MEC.</t>
  </si>
  <si>
    <t>30120 raciones en almuerzo escolar a alumnos de educación  inicial y escolar básica 1o y 2o ciclos matriculados en el año 2016, según datos del MEC del año 2016.</t>
  </si>
  <si>
    <t>Construcción de 6.200 m2 de Pavimento Pétreo tipo Empedrado en Varias Arterias de la Ciudad</t>
  </si>
  <si>
    <t>Construcción 4 Aulas, según detallado en la Microplanificación del MEC</t>
  </si>
  <si>
    <t>Refacción de 3 Aulas según planificación del MEC en base a las necesidades urgentes</t>
  </si>
  <si>
    <t>232 alumnos/as de la Educación Inicial y Educación Escolar Básica del 1° y 2°, matriculados en el año 2016, según datos del MEC del año 2016</t>
  </si>
  <si>
    <t>27.144 raciones en almuerzo escolar a alumnos de educación  inicial y escolar básica 1o y 2o ciclos matriculados en el año 2015, según datos del MEC del año 2016.</t>
  </si>
  <si>
    <t>Construcción de 2.600 m2 de Pavimento Pétreo tipo Empedrado en Varias Arterias de la Ciudad</t>
  </si>
  <si>
    <t>Construcción 3 Aulas, según detallado en la Microplanificación del MEC</t>
  </si>
  <si>
    <t>09.02. Acahay</t>
  </si>
  <si>
    <t>6 Mantenimientos y limpiezas de predios en las escuelas, según Planificación Municipal 2016.</t>
  </si>
  <si>
    <t>Construcción de 64.000 metros cuadrados de  empedrados para acceso a Instituciones Escolares, según Planificación Municipal 2016</t>
  </si>
  <si>
    <t xml:space="preserve">9.04. Gral. B. Caballero </t>
  </si>
  <si>
    <t>100</t>
  </si>
  <si>
    <t>14.875 raciones para los 96 alumnos matriculados en las Escuelas de las Compañias de la ciudad de Gral. B. Caballero.</t>
  </si>
  <si>
    <t>Construcción de 1 Baño sexado en la Esc. Bas. N° 783 Nta. Sra. Perpetuo Socorro y Esc. Bas. 2197 Cristo Rey</t>
  </si>
  <si>
    <t>Refacción de aulas en la Esc. Bas. N° 5380 Pedro Caballero</t>
  </si>
  <si>
    <t>Construcción de 4 Comedores Tipo en la Esc. Básica n° 782 Virgen del Rosario; 615 San Antonio de Padua; 116 Rca. Del Salvador.</t>
  </si>
  <si>
    <t>482 alumnos de la Educación Inicial y Educación Escolar Básica del 1° y 2° que recibirán almuerzo escolar por 133 días, según Presupuesto Municipal del año 2016.</t>
  </si>
  <si>
    <t>Construcción de 18 aulas nuevas, según Presupuesto Municipal.</t>
  </si>
  <si>
    <t xml:space="preserve">Proyectos de Inversión Pública y de Desarrollo </t>
  </si>
  <si>
    <t>2 Obligaciones pendientes de pagos de ejercicios anteriores por obras ejecutadas en el año 2015 y programadas para su cancelación en este año 2016.</t>
  </si>
  <si>
    <t>09.06. Escobar</t>
  </si>
  <si>
    <t>281 Alumnos de la Educación Inicial y Educación Escolar Básica del 1° y 2° que recibirán almuerzo escolar, según Presupuesto Municipal del año 2016.</t>
  </si>
  <si>
    <t>Construcción de 7 Aulas en Escuelas Públicas del Distrito.</t>
  </si>
  <si>
    <t>1 Construcción de 25mts2 Sanitario Esc. Bás. N° 676 Cñía. Ypahu, según planificación municipal.</t>
  </si>
  <si>
    <t>1.350 mts2 de Construcción de (Empedrado) Obras de Uso Público 20% de FONACIDE, según planificación municipal.</t>
  </si>
  <si>
    <t>459 mts2 de Construcción de Patio de Honor Esc. Bás. N° 676, según planificación municipal.</t>
  </si>
  <si>
    <t>950 mts2 de Construcción de Pavimento tipo Empedrado.</t>
  </si>
  <si>
    <t>81 mts2 a Construir de 1 Aula N.I Esc. Bás. N° 676 Cñía. Ypahu, según planificación municipal.</t>
  </si>
  <si>
    <t>25 mts2 de 1 Sanitario a Construir en Esc. Bás. N° 1392 Cñía. Arroyo Pora según planificación municipal.</t>
  </si>
  <si>
    <t>1 Reparación de Bloque de Aula Col. Nac. María Auxiliadora, según planificación municipal.</t>
  </si>
  <si>
    <t>1 Reparación de Bloque de Aula Esc. N° 1392 San Blás, según planificación municipal.</t>
  </si>
  <si>
    <t>1 Reparación de Bloque de Aula 2da. Etapa Col. Nac. María Auxiliadora.</t>
  </si>
  <si>
    <t>09.08 Mbuyapey</t>
  </si>
  <si>
    <t>09.10. Quiindy</t>
  </si>
  <si>
    <t>09.11. Quyquyho</t>
  </si>
  <si>
    <t>09.13. Sapucai</t>
  </si>
  <si>
    <t>700 alumnos/as de la Educación Inicial y Educación Escolar Básica del 1° y 2°, matriculados en el año 2016, según datos del MEC del año 2015.</t>
  </si>
  <si>
    <t>12500 raciones en almuerzo escolar a alumnos de educación inicial y escolar básica 1° y 2° ciclos matriculados en el año 2015, según datos del MEC del año 2016.</t>
  </si>
  <si>
    <t>2 Obras de Terraplenado, canalización y entubamiento de calle, según presupuesto Municipal.</t>
  </si>
  <si>
    <t>Construcción 3 Aulas, según detallado en la Microplanificación del MEC 2016.</t>
  </si>
  <si>
    <t>Refacción de 5 Aulas según planificación del MEC en base a las necesidades urgentes.</t>
  </si>
  <si>
    <t>900 alumnos/as de la Educación Inicial y Educación Escolar Básica del 1° y 2°, matriculados en el año 2016, según datos del MEC</t>
  </si>
  <si>
    <t>Construcción de 5 Aulas, según planificación 2016</t>
  </si>
  <si>
    <t>303 alumnos/as de la Educación Inicial y Educación Escolar Básica del 1° y 2°, proyectados para que reciban almuerzo escolar.</t>
  </si>
  <si>
    <t xml:space="preserve"> 2 Refacción de aulas en bloques existentes  según planificacion 2016</t>
  </si>
  <si>
    <t>2 Construcción de Comedor tipo 1 según planificacion para el 2016</t>
  </si>
  <si>
    <t>3 Construcción de sanitarios tipo MEC  según planificacion para el 2016</t>
  </si>
  <si>
    <t>4 Construcciones varios de aulas segun Planificacion Muncipal 2016</t>
  </si>
  <si>
    <t>1 Adquisición de desmalezadoras para Entidades Educativas</t>
  </si>
  <si>
    <t>1 Adquisición de Computadoras  para Entidades Educativas</t>
  </si>
  <si>
    <t>132 muebles para Entidades Educativasplanificado en el 2016</t>
  </si>
  <si>
    <t>Reparaciones Mayores  de 1 aula en Instituciones Educativas</t>
  </si>
  <si>
    <t>5 Deudas por obras culminadas (Refacción de comedor y construcción de cocinas con depósito en la Esc. Bas. N° 295 Panarmericana, construcciones varias en las Esc. Tte. Victor Rodriguez de Calle Poi, Esc. Cnel. José MAría Argaña de Potrero y en  la Esc. La Amistad de Guarapí y Refafación de Aula en la Esc. N° 5356 San José.</t>
  </si>
  <si>
    <t xml:space="preserve">Deudas  </t>
  </si>
  <si>
    <t>24400 Raciones de almuerzo escolar para 540 alumnos de la educacion inicial y educacion escolar basica del 1 y 2 ciclo matriculados</t>
  </si>
  <si>
    <t>2 Deudas Pendiente de Pagos de Gastos Corrientes de provision de servicios de Almuerzo Escolar según contrato del ejercicio anterior, según planificacion municipal 2016</t>
  </si>
  <si>
    <t>6 aula a ser construido en la escuela basica del distrito de Ybycui, según planificaión municipal 2016</t>
  </si>
  <si>
    <t>Construccion de 4 cocina comedor en instituciones educativas del distrito de ybycui, según planificacion municipal 2016</t>
  </si>
  <si>
    <t>Construccion de 3 cocina comedor en instituciones educativas del distrito de ybycui, según planificacion municipal 2016</t>
  </si>
  <si>
    <t>709 alumnos Beneficiadas para recibir la  Merienda Escolar  para la Escuela Jan L. Hoeckle y Tucuman Pya asi como establece la Microplanificacion para el año 2016</t>
  </si>
  <si>
    <t>5 Aula  para las Instituciones mas carenciadas que se encuentra dentro del Distrito de Ybytymi ,según planificada para el año 2016</t>
  </si>
  <si>
    <t>09.14. Tebicuarymi</t>
  </si>
  <si>
    <t>1820 alumnos de la Educacion Inicial y Educaicon Escolar Basica del 1er y 2do Ciclo que reciben almuerzo escolar en el 1er, 2do. Y 3er. Cuatrimestre planificados para el año 2016</t>
  </si>
  <si>
    <t xml:space="preserve">396190 Raciones  Almuerzo de la Educación Inicial y Educación Escolar Básica, conforme a contrato </t>
  </si>
  <si>
    <t xml:space="preserve">77 Aulas planificadas a ser construidas planificadas para construir en el año 2016  </t>
  </si>
  <si>
    <t xml:space="preserve"> 26 Sanitarios planificadas ser para construir en el año 2016 </t>
  </si>
  <si>
    <t>13 Reparaciones de Aulas a Realizar planificado para el año  2016</t>
  </si>
  <si>
    <t xml:space="preserve">7817 m2 Construcciones de Empedrados planificadas a Realizar en el año año  2016 </t>
  </si>
  <si>
    <t xml:space="preserve"> 2 Unidades de Reparacion de Puentes planificadas a Realizar en el año  2016 </t>
  </si>
  <si>
    <t xml:space="preserve">7817  m2   Construcciones de Pavimento Asfalto planificadas a Realizar en el año año  2016 </t>
  </si>
  <si>
    <t xml:space="preserve">4778 Unidades Sillas Pedagogicas  Planificado para el año 2016   .   </t>
  </si>
  <si>
    <t>Sillas Pedagogicas</t>
  </si>
  <si>
    <t>40 Escritorios y Armarios adquiridos en el año 2016</t>
  </si>
  <si>
    <t>56 lector electronico tipo tablet Adquiridos en el Ejerc. 2016</t>
  </si>
  <si>
    <t>4 Obligaciones Pendiente de pago Gastos de Capital para el año 2016</t>
  </si>
  <si>
    <t>510 alumnos/as de la Educación Escolar Básica del 1° y 2°, matriculados en el año 2016, que recibirán almuerzo escolar, según Presupuesto Municipal 2016.</t>
  </si>
  <si>
    <t>185000 Raciones Almuerzo de la Educación Escolar Basica del 1° y 2° a entregar en el año, conforme a contrato.</t>
  </si>
  <si>
    <t>4 comedores, 2 cocinas comedor, 1 sala de direccion y biblioteca y 1 pista de formacion  necesarias para centros educativos, según Planificación Municipal 2016</t>
  </si>
  <si>
    <t>31  Reparacion de Techos en varias escuelas del distrtio planificadas para  el año 2016.</t>
  </si>
  <si>
    <t xml:space="preserve"> Reparacion de 53 Aulas planificadas en el año 2016</t>
  </si>
  <si>
    <t>1 Muralla Perimetral según Planificación Municipal 2016</t>
  </si>
  <si>
    <t>3 Refaccion y Remodelacion de Ecuelas según Planificación Municipal 2015</t>
  </si>
  <si>
    <t>7537 m2 de empedrados a ser construidos, según Planificación Municipal 2016</t>
  </si>
  <si>
    <t>20 Equipos recreativos para gimnacia, según Planificación Municipal 2016</t>
  </si>
  <si>
    <t>300 Muebles especializados para uso Escolar, según Planificación Municipal 2016</t>
  </si>
  <si>
    <t>100 Mesas a entregar en centros educativos, según Planificación Municipal 2016</t>
  </si>
  <si>
    <t xml:space="preserve"> 550 Sillas con mesitas pedagógicas planificadas a entregar en el año 2016</t>
  </si>
  <si>
    <t>2139 Sillas con mesitas pedagógicas planificadas a entregar en el año 2016</t>
  </si>
  <si>
    <t>100 Armarios a entregar en centros educativos, según Planificación Municipal 2016</t>
  </si>
  <si>
    <t>Construcción de 8 aulas en la escuela basica maria auxiliadora del distrito de domingo martinez de irala según planificacion municipal 2016</t>
  </si>
  <si>
    <t>4 Deudas a pagar del Saldo de Dueda del Ejercicio 2015- Adj. Plurianual por la adquisicion del ejercicio anterior, según Planificacion Municpal 2016</t>
  </si>
  <si>
    <t>170 alumnos/as de la Educación Inicial y Educación Escolar Básica del 1° y 2°, matriculados en el año 2016, en las Escuelas; Nº 415 Mcal. Francisco Solano López y  Jesús 
de Nazaret  y N° 972 San Agustín según planificacion municipal 2016</t>
  </si>
  <si>
    <t>1 Deudas a ser pagadas por Almuerzo a Escuela realizadas en ejercicios 2015, canceladas en el ejercicio 2016</t>
  </si>
  <si>
    <t>4 Construcción de Aulas en Esc. Bás. Nº 3480 Santa Teresa de los Andes, Esc. Bás. Nº 437 Ramón Indalecio Cardozo,  Esc. Bás. María Belén,  Colegio Nacional John F. Kennedy, segun planificación municipal 2016</t>
  </si>
  <si>
    <t>3 Construcción de Sanitario Sexado en; Colegio Nacional John F. Kennedy, Esc. Bás. Nº 831 Padre Bruno Otte, Esc. Bás. Nº 3479 Sta. Catalina de Siena según planificación 2016</t>
  </si>
  <si>
    <t>4 Reparación de Aulas en la Esc. Bás. Nº 718 Paz del Chaco, Esc. Bás. Nº 918 San Agustin, Esc. Bás. Nº 4022 Sindulio Candia según planificacion municipal 2016</t>
  </si>
  <si>
    <t>2 Reparación de Sanitarios en Colegio Nacional San Agustín y Esc. Bás. Nº 552 John F. Kennedy según  planificacion municipal 2016</t>
  </si>
  <si>
    <t>1 Reparación de Pozo en Esc. Bás. Nº 1322 Madre del Salvador según  planificación municipal 2016</t>
  </si>
  <si>
    <t>1 Obra Conexión de agua en Esc. Bas. Nº 632 Adela Esperatti según planificación municipal 2016</t>
  </si>
  <si>
    <t>1 Obra Contrucción de cercado perimetral en Colegio Nacional San Fransisco de Asis planificación municipal 2016</t>
  </si>
  <si>
    <t>1 Obra Contrucción de cercado perimetral en Esc. Basica 1634 Gral .Bernaino Caballero, planificación municipal 2016</t>
  </si>
  <si>
    <t>763 alumnos de la Educación Inicial y Educación Escolar Básica del 1° y 2° que recibirán almuerzo escolar durante 100 dias según presupuesto 2016</t>
  </si>
  <si>
    <t>1 Deudas por  Provisión de Almuerzo Escolar planificado a pagar en el ejercicio del año 2016.</t>
  </si>
  <si>
    <t>Construcción de 20 Aulas, según planificación 2016</t>
  </si>
  <si>
    <t>10 sanitarios nuevos planificados para construir en el año 2016</t>
  </si>
  <si>
    <t>4 Deudas por  Construcción de aulas planificado a pagar en el ejercicio del año 2016.</t>
  </si>
  <si>
    <t>10.01. Ciudad del Este</t>
  </si>
  <si>
    <t>10.02. Presidente Franco</t>
  </si>
  <si>
    <t>9332 raciones de almuerzo escolar para 302 alumnos de la educacion inicial y educacion escolar basica del 1 y 2 ciclo matriculados, según Planificacion Municipal 2016</t>
  </si>
  <si>
    <t>10.05.  Hernandarias</t>
  </si>
  <si>
    <t>358 alumnos/as de la Educación Inicial y Educación Escolar Básica del 1° y 2°, matriculados que recibirán almuerzo escolar, según datos del MEC del año 2016</t>
  </si>
  <si>
    <t>Construcción de 5 aulas, según Planificación Municipal 2016</t>
  </si>
  <si>
    <t>Construcción de 5 sanitarios, según Planificación Municipal 2016</t>
  </si>
  <si>
    <t>Construcción de 4 Camineros, según Planificación Municipal 2016</t>
  </si>
  <si>
    <t>Construcción de 1 Cancha, según Planificación Municipal 2016</t>
  </si>
  <si>
    <t>Construcción de 1 Cercados Perimetrales, según Planificación Municipal 2016</t>
  </si>
  <si>
    <t>Construcción de 1 Patio de Honor, según Planificación Municipal 2016</t>
  </si>
  <si>
    <t>937 m2 de Construcción de Empedrado en la Colonia Pikyry, según planificacón</t>
  </si>
  <si>
    <t>Terminación de 1 Tinglado, según Planificación Municipal 2016</t>
  </si>
  <si>
    <t>Reparados 2 sanitario en centros educativos, según Planificación Municipal 2016</t>
  </si>
  <si>
    <t>Reparados 2 Techos, pilares e instalaciones electrica en centros educativos, según Planificación Municipal 2016</t>
  </si>
  <si>
    <t>1200 m2 de Construcción de Empedrado en la Asentamiento Santiago Martinez, según planificacón</t>
  </si>
  <si>
    <t>1 Unidades de Juego para niños planificados para la adquisición en el año 2016</t>
  </si>
  <si>
    <t>25 computadoras  para entregadas en centros educativos, según Planificación Municipal 2016</t>
  </si>
  <si>
    <t>319 Unidades (160 sillas ,4 escritorios, 151 mesas, 2 Armarios y 2 computadoras)  para entregadas en centros educativos del municipio con necesidad de equipamiento en el año 2015/2016</t>
  </si>
  <si>
    <t>Reparados 1 sanitario en centros educativos, según Planificación Municipal 2016</t>
  </si>
  <si>
    <t>1378 Alumnos de Educación Inicial y Educación Escolar Básica del 1º y 2º que recibirán almuerzo escolar</t>
  </si>
  <si>
    <t xml:space="preserve">58.300 Raciones  Almuerzo de la Educación Inicial y Educación Escolar Básica, planificadas en el año 2016. </t>
  </si>
  <si>
    <t>12 aulas planificadas para construir en el año 2016</t>
  </si>
  <si>
    <t>9 Sanitarios a ser construidos en centros educativos, según Planificación Municipal 2016</t>
  </si>
  <si>
    <t>6 Comedores a ser construidos en centros educativos, según Planificación Municipal 2016</t>
  </si>
  <si>
    <t>10 aulas reparadas planificadas para construir en el año 2016</t>
  </si>
  <si>
    <t>10 Obras realizadas sin aprobacion por el Ministerio de Educación, planificadas para el 2016</t>
  </si>
  <si>
    <t>Muebles adquiridos sin aprobacion por el Ministerio de Educación, planificadas para el 2016</t>
  </si>
  <si>
    <t>827 Sillas a ser entregadas en centros educativos, según Planificación Municipal 2016</t>
  </si>
  <si>
    <t>390 Mesas a ser entregadas en centros educativos, según Planificación Municipal 2016</t>
  </si>
  <si>
    <t>Mesas pedagógicas</t>
  </si>
  <si>
    <t>791 alumnos/as de la Educación Inicial y Educación Escolar Básica del 1° y 2°, matriculados en el año, según datos del MEC del año 201, de los cuales 307 alumnos recibiran almuerzo escolar, segu presupuest.</t>
  </si>
  <si>
    <t>Construcción de 4 Aulas nuevas: Escuela Bás. Nº 5029 Ntra Sra del Perpetuo Socorro, Escuela Bás. Nº 4103 Alberto A. Roque León, Escuela Bás. Nº 717 San Isidro, Escuela Bás. Nº 5472-San Francisco Virgen Reino, según Planificación Municipal 2016</t>
  </si>
  <si>
    <t>Reparación de 6 Aulas (Colegio Nacional San Agustin,  Escuela Bás. Nº 1864 San José Obrero, Esc. Defensores del Chaco y Esc. Virgen del Rosario, Colegio Naci. Hector Castillo y Esc. 554 Jse Ma. Argaña), según planificación 2016</t>
  </si>
  <si>
    <t>Reparación de 1 Sanitario en Escuela Bás. Nº 554 Cnel. José Ma. Argaña, según planificación 2016</t>
  </si>
  <si>
    <t>Obras realizadas sin aprobacion por el Ministerio de Educación</t>
  </si>
  <si>
    <t>312 Sillas a ser entregadas en centros educativos, según Planificación Municipal 2016</t>
  </si>
  <si>
    <t>312 Mesas a ser entregadas en centros educativos, según Planificación Municipal 2016</t>
  </si>
  <si>
    <t>5 armarios a ser entregados en el año 2016, según planificación Municipal.</t>
  </si>
  <si>
    <t>1 Deudas a ser pagadas de 1 de Obras realizadas en ejercicios anteriores, canceladas en el ejercicio 2016</t>
  </si>
  <si>
    <t>Provisión de 200 Alumnos de la Escuela de Chacoré 2ª Línea que reciben el almuerzo Escolar conforme planificación 2016</t>
  </si>
  <si>
    <t>Construcción de 5 Aulas según planificación 2016</t>
  </si>
  <si>
    <t>Construcción de 2 Cocina Comedor,  según planificación 2016</t>
  </si>
  <si>
    <t>Construcción de 4 Sanitarios Sexados según planificación 2016</t>
  </si>
  <si>
    <t>8500 m2 de pavimentos tipo empedrados según presupuesto 2016</t>
  </si>
  <si>
    <t xml:space="preserve">Proyecto de Infraestructura en Educación </t>
  </si>
  <si>
    <t>Adquisición de 10 desmalezadoras para instituciones s/planificación 2016.</t>
  </si>
  <si>
    <t>Adquisición de 220 Sillas s/planificación 2016.</t>
  </si>
  <si>
    <t>Adquisición de 130 sillas s/planificación 2016.</t>
  </si>
  <si>
    <t>1071 alumnos/as de la Educación Inicial y Educación Escolar Básica del 1° y 2° ciclo, matriculados en el año 2016, según datos del MEC del año 2016.</t>
  </si>
  <si>
    <t xml:space="preserve">Proyectos de Infraestructura en Educacion </t>
  </si>
  <si>
    <t>Construcción de 5 Aulas según planificación 2015</t>
  </si>
  <si>
    <t>Reparación de 1 techo de  aula según planificación 2015</t>
  </si>
  <si>
    <t>Construcción de 3 Sanitarios Sexados según planificación 2015</t>
  </si>
  <si>
    <t>3700 m2 de pavimentos tipo empedrados según presupuesto 2016</t>
  </si>
  <si>
    <t>Adquisición de 15 desmalezadoras para instituciones s/planificación 2016.</t>
  </si>
  <si>
    <t>Adquisición de 4 Retroproyectores para instituciones s/planificación 2016.</t>
  </si>
  <si>
    <t>Adquisición de 01 Generador  para instituciones educativas s/planificación 2016.</t>
  </si>
  <si>
    <t>Adquisición de 10 dispensadores de agua para instituciones educativas s/planificación 2016.</t>
  </si>
  <si>
    <t>Adquisición de 5 Equipos de sonidos para instituciones educativas s/planificación 2016.</t>
  </si>
  <si>
    <t>Adquisición de 15 computadoras personales  para instituciones educativas s/planificación 2016.</t>
  </si>
  <si>
    <t>Adquisición de 220 pupitres s/planificación 2016.</t>
  </si>
  <si>
    <t>Raciones diarias  de almuerzo escolar para 350 alumnos de la educación inicial y educación escolar básica del 1 y 2 ciclo matriculados a ser beneficiados con el Programa,  según planificación municipal 2016</t>
  </si>
  <si>
    <t>3 Sanitarios  en 3 Centros Educativos que serán construidos en el Municipio de Los Cedrales según planificación municipal 2016</t>
  </si>
  <si>
    <t>1 aula  en 1 Centro Educativo que será construido en el Municipio de Los Cedrales según planificación municipal 2016</t>
  </si>
  <si>
    <t>4 aulas  en 1 Centro Educativo que serán reparadas en el Municipio de Los Cedrales según planificación municipal 2016</t>
  </si>
  <si>
    <t>5378 alumnos/as de la Educación Inicial y Educación Escolar Básica del 1° y 2° ciclo, matriculados en el año,  según datos del MEC de los cuales 1325 alumnos recibirán almuerzo escolar en el año 2016.</t>
  </si>
  <si>
    <t>Construcción de 13 Aulas según planificación 2016</t>
  </si>
  <si>
    <t>Reparación de 8 aulas según planificación 2016</t>
  </si>
  <si>
    <t>Construcción de 6 Sanitarios Sexados según planificación 2016</t>
  </si>
  <si>
    <t>Construcción de 3  Aulas para Pre escolar según planificación 2016</t>
  </si>
  <si>
    <t>Reparación 10 Aulas con Pabellón según planificación 2016</t>
  </si>
  <si>
    <t>22213 m2 de pavimentos tipo empedrados según presupuesto 2016</t>
  </si>
  <si>
    <t>Equipamientos en las Instituciones Públicas</t>
  </si>
  <si>
    <t>Adquisición de 550 pupitres s/planificación 2016.</t>
  </si>
  <si>
    <t>Adquisición de 550 sillas s/planificación 2016.</t>
  </si>
  <si>
    <t>90 Alumnos/as de la Escuela Kaa Jovai Indígena que recibiran almuerzo escolar, según datos del MEC del año 2016</t>
  </si>
  <si>
    <t>Construcciones de 8 aulas, según Planificación Municipal 2016</t>
  </si>
  <si>
    <t>2 Sanitarios a ser construidos en centros educativos, según Planificación Municipal 2016</t>
  </si>
  <si>
    <t>3 Comedor a ser construidos en centros educativos, según Planificación Municipal 2016</t>
  </si>
  <si>
    <t>100 Sillas a ser entregadas en centros educativos, según Planificación Municipal 2016</t>
  </si>
  <si>
    <t>100 Mesas a ser entregadas en centros educativos, según Planificación Municipal 2016</t>
  </si>
  <si>
    <t>Almuerzo Escolar Natural</t>
  </si>
  <si>
    <t>Provisión de Almuerzo deshidratado a 444 s/ 3,970 alumnos/as de la Educación Inicial y Educación Escolar Básica del 1° y 2° ciclo, matriculados en el año 2015, según datos de la microplanificación del MEC del año 2016.</t>
  </si>
  <si>
    <t>Construcción de 1 aulas nuevas en centros educativos, según Planificación Municipal 2016</t>
  </si>
  <si>
    <r>
      <t xml:space="preserve">Reparacion de  133 Aulas  conforme a la microplanificación y programación presupuestaria 2016. </t>
    </r>
    <r>
      <rPr>
        <sz val="10"/>
        <color rgb="FFFFFF00"/>
        <rFont val="Times New Roman"/>
        <family val="1"/>
      </rPr>
      <t/>
    </r>
  </si>
  <si>
    <t>Construcción de  6 Aulas en Planta Alta conforme a la microplanificación y programación presupuestaria 2016,</t>
  </si>
  <si>
    <t>Construcción de 5 baños grandes con guarda obra y muro, según planificación 2016</t>
  </si>
  <si>
    <t>383 alumnos/as de la Educación Inicial y Educación Escolar Básica del 1° y 2°, matriculados en el año 2015, según datos del MEC.</t>
  </si>
  <si>
    <t>1 aulas a ser construidas, según Planificación Municipal 2016</t>
  </si>
  <si>
    <t>Reparación de 1 aulas, según Planificación Municipal 2016</t>
  </si>
  <si>
    <t>Construcción de 1 Biblioteca, según Planificación Municipal 2016.</t>
  </si>
  <si>
    <t>2 Obras realizadas sin aprobacion por el Ministerio de Educación, segun planificacion Municpal</t>
  </si>
  <si>
    <t>20 pizarrones a ser entregados en el año 2016, según planificación Municipal.</t>
  </si>
  <si>
    <t>75 Sillas a ser entregadas en centros educativos, según Planificación Municipal 2016</t>
  </si>
  <si>
    <t>75 Mesas a ser entregadas en centros educativos, según Planificación Municipal 2016</t>
  </si>
  <si>
    <t>18 Escritorios a ser entregadas en centros educativos, según Planificación Municipal 2016</t>
  </si>
  <si>
    <t>18 Sillas para Docente a ser entregadas en centros educativos, según Planificación Municipal 2016</t>
  </si>
  <si>
    <t>33 armarios a ser entregados en el año 2016, según planificación Municipal.</t>
  </si>
  <si>
    <t>3 Deudas a ser pagadas de 3 de Obras realizadas en ejercicios anteriores, canceladas en el ejercicio 2016</t>
  </si>
  <si>
    <t>2.500 alumnos de la Educación Inicial y Educación Escolar Básica del 1° y 2° que recibirán almuerzo escolar, según Presupuesto Municipal del año 2016</t>
  </si>
  <si>
    <t>Construcción de 8 Aulas en diferentes estamentos Escolares del Distrito.</t>
  </si>
  <si>
    <t>723 alumnos/as de la Educación Inicial y Educación Escolar Básica del 1° y 2°, matriculados en el año 2016, de 2493 del total matriculados, según datos migro planificacion</t>
  </si>
  <si>
    <t>Construcción de 1 baño nuevas en centros educativos, según Planificación Municipal 2016</t>
  </si>
  <si>
    <t>Construcción de 11 aulas nuevas en centros educativos, según Planificación Municipal 2016</t>
  </si>
  <si>
    <t xml:space="preserve"> 4 cercado perimetral planificados a construir en el año 2016 </t>
  </si>
  <si>
    <t>Construcción de 2 Sanitarios, según Planificación Municipal 2016</t>
  </si>
  <si>
    <t>1 Construcción  de cocina con comedor en Escuela Basica No 3.565 Kirito- Comunidad Indigena Kirito. Planificado y presupuestado en el ejercicio 2.016</t>
  </si>
  <si>
    <t>1 Reparación de Pabellon Escolar Escuela Basica No 7.843 Verbo Divino. Planificado y presupuestado en el ejercicio 2.016</t>
  </si>
  <si>
    <t>1 Construccion de aula en la Escuela Basica 5.543 Jose Asuncion Flores- Verbo Divino. Planificado y presupuestado en el ejercicio 2.016</t>
  </si>
  <si>
    <t>1 Construcción de Aula  en Escuela Básica No 7.843 Koe Pyahu Verbo Divino Kirito . Planificado y Presupuestado en el ejercicio 2.016</t>
  </si>
  <si>
    <t>1 Construccion de sanitarios sexado en Escuela Basica 3.565 Kirito Pindo de Gleba 10. Planificado y Presupuestado en el ejercicio 2.016</t>
  </si>
  <si>
    <t>Construccion de sanitarios sexado en Escuela Basica 7.843 Koe Pyahu Verbo Divino Kirito. Planificado y Presupuestado en el ejercicio 2.016</t>
  </si>
  <si>
    <t>1 Obra para Construcción de cercado perimetral en Escuela Basica 7.860 1o de Mayo. Planificado y presupuestado en el ejercicio 2.016</t>
  </si>
  <si>
    <t>Colocación  de 01  tanque de agua  en  Colegio Nacional Panambi. Planificado y presupuestado en el ejercicio 2.016</t>
  </si>
  <si>
    <t>1 Construcción de salon comedor  en Escuela Basica 1.520 Cristo Redentor. Planificado y presupuestado en el ejercicio 2.016</t>
  </si>
  <si>
    <t>1 Construccion de un aula en escuela basica No 5.532 San Blas, planificado y presupuestado en el ejercicio 2.016</t>
  </si>
  <si>
    <t>Construccion de un aula en escuela basica No 7.860 1o de mayo puerto indio, planificado y presupuestado en el ejercicio 2.016</t>
  </si>
  <si>
    <t>Construcción de reparacion y ampliacion de aulas en Escuela Basica 1.520 Cristo Redentor. Planificado y presupuestado en el ejercicio 2.016</t>
  </si>
  <si>
    <t>construccion de baño sexado escuela basica 5.780 estrella de kirito, planificado y presupuestado en el ejercicio 2.016</t>
  </si>
  <si>
    <t>reparacion de pabellon escolar escuela basica 5.541 emiliano r fernandez, planificado y ejecutado en el ejercicio 2.016</t>
  </si>
  <si>
    <t>440 alumnos de la Educación Inicial y Educación Escolar Básica del 1° y 2° que reciben almuerzo escolar en el año con un promedio de 31.210  raciones en el año</t>
  </si>
  <si>
    <t>440 alumnos de la Educación Inicial y Educación Escolar Básica del 1° y 2° que reciben almuerzo escolar en el año con un promedio de 20.000 raciones en el año</t>
  </si>
  <si>
    <t>1 deuda por adquisición de 26.212 raciones para un promedio de 489 alumnos en cuatro escuelas basics del municipio promedio de meses: febrero-junio. Planificado y presupuestado en el ejercicio 2.016, con un promedio 26.212 raciones en el año</t>
  </si>
  <si>
    <t xml:space="preserve"> Cancelacion de pagos por Construcción de comedor en Escuela Basica No 2.428. Planificado y presupuestado en el ejercicio 2.016</t>
  </si>
  <si>
    <t xml:space="preserve"> 330 alumnos de 3458 alumnos del distrito que constituyen el 9,54 % de alumnos beneficiados con almuerzo escolar. Según planificacion 2016</t>
  </si>
  <si>
    <t>14  Reparaciónes de  aulas Planificadas en el año 2016</t>
  </si>
  <si>
    <t>Construcción de 5 aulas Planificadas para el año 2016</t>
  </si>
  <si>
    <t xml:space="preserve">Adquisicion de 573 sillas y mesitas planificadas en el año 2016 </t>
  </si>
  <si>
    <t>Sillas y Mesitas</t>
  </si>
  <si>
    <t xml:space="preserve">Reparación </t>
  </si>
  <si>
    <t>232 alumnos/as de la Educación Inicial y Educación Escolar Básica del 1° y 2° ciclo, matriculados,  según datos del MEC del año 2016.</t>
  </si>
  <si>
    <t>Construción de una cocina comedor Tipo 1 según planificación 2016</t>
  </si>
  <si>
    <t>Construcción de 03 aulas segun planificación 2016</t>
  </si>
  <si>
    <t>Construcción de 2 baños sexados segun planificación 2016</t>
  </si>
  <si>
    <t>1 Reparación de sanitarios sexados segun planificación 2016</t>
  </si>
  <si>
    <t>1 Reparación de Techo y Pintura en Instituciones Publicas segun planificación 2016</t>
  </si>
  <si>
    <t>2730 m2 de pavimentos tipo empedrados según presupuesto 2016</t>
  </si>
  <si>
    <t>Adquisición de 10 Escritorios con armarios s/planificación 2016</t>
  </si>
  <si>
    <t>Escritorios con Armarios</t>
  </si>
  <si>
    <t>Adquisición de 10 Aires Acondicionados para instituciones educativas s/planificación 2016</t>
  </si>
  <si>
    <t>Aires Acondicionados</t>
  </si>
  <si>
    <t>178 alumnos/as de la Educación Inicial y Educación Escolar Básica del 1° y 2°, matriculados, que recibiran almuerzo escolar  según datos del MEC del año 2015.</t>
  </si>
  <si>
    <t>Reparación y remodelación de 3 Aulas en centros educativos, según Planificación Municipal 2016</t>
  </si>
  <si>
    <t>Construcción de 1 Cocina Comedor en centros educativos, según Planificación Municipal 2016</t>
  </si>
  <si>
    <t xml:space="preserve"> Cocina / Comedor</t>
  </si>
  <si>
    <t>Construcción de 1 baños grandes con guarda obra y muro, según planificación 2016</t>
  </si>
  <si>
    <t>Construcción de 3 aula nueva en centros educativos, según Planificación Municipal 2016</t>
  </si>
  <si>
    <t>Construcion de Cocina Comedor y Readecuacion de la Direccion planificado en el 2016</t>
  </si>
  <si>
    <t>Construcion de Cocina Comedor y Reparacion Varia planificado en el 2016</t>
  </si>
  <si>
    <t xml:space="preserve"> 450 alumnos con provisión de almuerzo, según planificación 2016</t>
  </si>
  <si>
    <r>
      <t xml:space="preserve">Reparacion de  53 Aulas  conforme a la microplanificación y programación presupuestaria 2016. </t>
    </r>
    <r>
      <rPr>
        <sz val="10"/>
        <color rgb="FFFFFF00"/>
        <rFont val="Times New Roman"/>
        <family val="1"/>
      </rPr>
      <t/>
    </r>
  </si>
  <si>
    <t>Construcción de 4 baños grandes con guarda obra y muro, según planificación 2016</t>
  </si>
  <si>
    <t>10.07. Itakyry</t>
  </si>
  <si>
    <t>10.09. Ñacunday</t>
  </si>
  <si>
    <t>10.11. Los Cedrales</t>
  </si>
  <si>
    <t>10.14. Santa Rita</t>
  </si>
  <si>
    <t>10.15.  Naranjal</t>
  </si>
  <si>
    <t>10.16. Santa Rosa del Monday</t>
  </si>
  <si>
    <t>10 Construccion de aulas a ser construidas educativas de la Ciudad de Pilar, según Presupuesto Municipal 2016</t>
  </si>
  <si>
    <t>2 Deudas pagadas por Almuerzo Escolar y Construccion en el Centro Abierto correspondientes al Ejercicio Anterior</t>
  </si>
  <si>
    <t>3 Deudas pagadas por Construccion en el Centro Abierto y CREP correspondientes al Ejercicio Anterior</t>
  </si>
  <si>
    <t>816 alumnos de la Educación Inicial y Educación Escolar Básica del 1° y 2° que recibirán almuerzo escolar, según Presupuesto Municipal del año 2016</t>
  </si>
  <si>
    <t>Construcción de  un aula en el Colegio Juan Btas.Alberdi, según planificación municipal</t>
  </si>
  <si>
    <t>1 Obra de Pintura General exterior del Colegio Nacional Juan Btas. Alberdi, s/ planificación municipal 2016</t>
  </si>
  <si>
    <t>1 Obra de Pintura exterior local de la Escuela No. 5660, según planificación municipal 2016</t>
  </si>
  <si>
    <t>1 Reparaciones de los sanitarios sexado existente en la Escuela de Basica 770, según planificación municipal 2016</t>
  </si>
  <si>
    <t>1 Obras de  Reparaciones y remodelaciones existente en las instituciones educativas, según planificación municipal 2016</t>
  </si>
  <si>
    <t>597 Alumnos de la Educación Inicial y Educación Escolar Básica del 1° y 2° que recibirán almuerzo escolar diariamente, según Presupuesto Municipal del año 2016</t>
  </si>
  <si>
    <t>Construcción de 1 aula nueva en centros educativos, según Planificación Municipal 2015</t>
  </si>
  <si>
    <t>Construcción de 5 sanitarios nuevos en centros educativos, según Planificación Municipal 2016</t>
  </si>
  <si>
    <t>2 Construcción de  salas para otras dependencias en centros educativos,de 2 según Planificación Municipal 2016</t>
  </si>
  <si>
    <t>3 Reparación, remodelación y ampliación de  Aulas en centros educativos, según Planificación Municipal 2016</t>
  </si>
  <si>
    <t>1728m2 Construcción de pavimento tipo adoquinado en ayacencia a Instituciones educativas, según Planificación Municipal 2016</t>
  </si>
  <si>
    <t>444 m2 de construcción de  caminero frente  a instituciones Escolares, según Planificación Municipal 2016</t>
  </si>
  <si>
    <t>8 elaboracion de proyectos de obras a ser elborados para escuelas y colegios su ejecucion planificados en el año 2016</t>
  </si>
  <si>
    <t>110 alumnos/as de la Educación Inicial y Educación Escolar Básica del 1° y 2 ciclo, matriculados en el año 2016 que reciben Almuerzo Escolar.</t>
  </si>
  <si>
    <t>99  alumnos/as de la Educación Inicial y Educación Escolar Básica del 1° y 2 ciclo, matriculados en el año 2015 que reciben Almuerzo Escolar.</t>
  </si>
  <si>
    <t>3 Reparación de techo de teja, renovación sistema eléctrico, y colocación de abertura de puerta para comedor, en la Esc.Bá.2163 San Gabriel Arcángel - Cia. Capillita</t>
  </si>
  <si>
    <t>4 Reacondicionamiento de instalación eléctrica y mantenimiento del local escolar (pintura interior exterior, reparación de baño con accesorios, reparación de techo de teja, cambio de vidrios) provisión de puertas y ventanas de blindex, rejas para puertas y ventanas, en la Esc. Bás. N°94 "Virgen del Carmen", del pueblo</t>
  </si>
  <si>
    <t>3 Construcción de cerco perimetral; pozo ciego, camara séptica; Reparación de baño con accesorio, pintura de pared, reposición de piso, y reparación de techo de tejas,  en la Esc. Bás. N°2160 "Héroes del Chaco" Cia. Santa Catalina</t>
  </si>
  <si>
    <t>2 Reparación del sistema eléctrico y construcción de cerco perimetral, construcción de cámara septica y pozo ciego para cocina, en la Esc. Bás. N°2161 "San Patricio" Cia. Costa Po´í</t>
  </si>
  <si>
    <t>3 Mantenimiento y refacciones en general de salas, pintura interna y externa, instalaciones eléctricas y Construcción de Cerco Perimetral,  en la Esc. Bás. N°2162 Potrero Zarza, Cia. Potrero Zarza</t>
  </si>
  <si>
    <t>4 Construcción de muralla perimetral, pozo artesiano, motor, Renovación sistema eléctrico, pintura de pared. en la Esc. Bás. N°5649 "San Juan Bautista" Cia. Potrero San Juan</t>
  </si>
  <si>
    <t>1 Construcción de baño sexado chico, en la Esc. Bás. N°5649 "San Juan Bautista", Cia. Potrero San Juan</t>
  </si>
  <si>
    <t>3 Renovación del sistema de instalación electrica, Mantenimientos varios pintura de pared y reparación de techo de teja, reparación de cañería de agua y camineros. Construcción de pozo artesiano con tanque de agua, en la Esc. Bás. N°2595 "Olegario Paredes", Cia. San Antonio</t>
  </si>
  <si>
    <t>3 Construcción de pozo artesiano, con motor y tanque elevado de 500 litros, de fibra de vidirio, con conexión a la red de agua existente. 1 en la Esc. Bás. N°94 "Virgen del Carmen" 1 en la Esc. Bás. N°2595 "Olegario Paredes" Cia. San Antonio. 1 en la Esc. Bás. N°2162 Potrero Zarza, Cia. Potrero Zarza</t>
  </si>
  <si>
    <t>4 Reparación del Local escolar (pintura de pared, muralla, rejas, salas) (reparación de techo, baños con accesorios) Colocación de puertas y ventanas de blindex, pizarron acrilico y Construcción de pozo artesiano con montor, en el Colegio Virgen del Carmen</t>
  </si>
  <si>
    <t>3 Construcción de mamparas, reparación de instalación electrica, reparación de baño existente para dama y construcción de baño para barones, mantenimientos varios, pintura, puertas, cocinas, y cambios de artefactos electricos, en el Centro Educativo 12 - 27</t>
  </si>
  <si>
    <t xml:space="preserve"> 1 Construcción de un aula con galeria, con techo de tejas, según MEC, en el Centro Educativo 12 - 27, según planificación municipal </t>
  </si>
  <si>
    <t>3 Refacción del local, pintura  de pared, ventana tipo blindex, reparación de techo de tejas y construcción de pozo artesiano con motobomba, en la Esc. Bás.N°11378 "Sgto. 1° Cirilo Cabral Rios" Cia.San Roque</t>
  </si>
  <si>
    <t xml:space="preserve">1 Obra a realizar: Tinglado en Pista Deporita, en la Escuela Virgen del Carmen, según planificción municipal </t>
  </si>
  <si>
    <t xml:space="preserve">1 Obra a realizar: Hermoseamiento de la plaza central del pueblo, según planificación municipal </t>
  </si>
  <si>
    <t>Construcción de Cerco Perimetral para el Puesto de Salud Local, planificación municipal 2016</t>
  </si>
  <si>
    <t>Adquisición de Muebles, 44 mesas pedagojicas con sillas, según planificación 2016</t>
  </si>
  <si>
    <t xml:space="preserve">Adquisición de Muebles, 15 escritorios con sillas para escuelas del distrito, según planificación municipal </t>
  </si>
  <si>
    <t xml:space="preserve">Adquisición de Equipos de sonido, 2 bafres, 1 amplificador, 1 consola, 2 micrófonos, 4 accesorios para escuela del Distrito, según planificación </t>
  </si>
  <si>
    <t>Adquisición de Muebles para comedor, 8 juegos de mesas y sillas, según planificación 2016</t>
  </si>
  <si>
    <t>Adquisición de Muebles, 5 Estantes (casillleros y armarios), según planificación 2016</t>
  </si>
  <si>
    <t>4 Equipos Iformáticos, (CPU, UPS, Impresora multifunción)  planificadas a entregar en el año 2016</t>
  </si>
  <si>
    <t>8 Equipos Iformáticos, (Computadoras con accesorios)  planificadas a entregar en el año 2016</t>
  </si>
  <si>
    <t xml:space="preserve"> 7 Equipos de Ventiladores de techo planificadas a entregar en el año 2016</t>
  </si>
  <si>
    <t xml:space="preserve">8 Adquisición de Equipos de refrigeración  para escuelas del Distrito, según planificación municipal </t>
  </si>
  <si>
    <t xml:space="preserve">8 Adquisición de Equipos de  acondicionadores de aire para escuelas del Distrito, según planificación municipal </t>
  </si>
  <si>
    <t xml:space="preserve">1 Pagos para Cancelación de Deudas con proveedores por trabajos del ejercicio anterior, trabajos de mantenimiento de escuelas y trabajos de mejoramiento de caminos, según planificación </t>
  </si>
  <si>
    <t>568 Alumnos de la Educación Inicial y Educación Escolar Básica del 1° y 2° que recibirán almuerzo escolar, según Presupuesto Municipal del año 2016</t>
  </si>
  <si>
    <t>Construcción de 3 aulas nuevas en centros educativos, según Planificación Municipal 2015</t>
  </si>
  <si>
    <t>4 Construcción de  sanitarios nuevos en centros educativos, según Planificación Municipal 2016</t>
  </si>
  <si>
    <t>4 Construcción de  salas para otras dependencias en centros educativos,de 4 según Planificación Municipal 2016</t>
  </si>
  <si>
    <t>23 Reparación, remodelación y ampliación de  Aulas en centros educativos, según Planificación Municipal 2016</t>
  </si>
  <si>
    <t>Construcción de puentes tubulares sin tubos,de 20 según Planificación Municipal 2016</t>
  </si>
  <si>
    <t>1600 m2 de construcción de  de pavimento tipo adoquinado para acceso a instituciones Escolares, según Planificación Municipal 2016</t>
  </si>
  <si>
    <t>6 Elaboracion de proyectos, planos, fizcalizacion de obras realizadas en instituciones educativas  realizado planificado para el año 2016</t>
  </si>
  <si>
    <t>118 alumnos de la Educación Inicial y Educación Escolar Básica del 1° y 2° que recibirán almuerzo escolar, según Presupuesto Municipal del año 2016</t>
  </si>
  <si>
    <t>1  mantenimientos del locales de acuerdo a la Microplanificacion del MEC, de acuerdo a la Planificación del Ejercicio 2016</t>
  </si>
  <si>
    <t>8 Construcciones y mantenimiento de locales escolares de acuerdo a la Microplanificacion del MEC, de acuerdo a la Planificación del Ejercicio 2016</t>
  </si>
  <si>
    <t>8  Obras de Reparaciones y adecuaciones de instalaciones electrica de las 7 siete escuela y 1 colegio programados en la Planificacion Municipal del 2016</t>
  </si>
  <si>
    <t>4 Construccion de mejoramientos de acceso a los locales escolares( Virgen del Pilar - Duarte Cue, San Pablo de Potrero Esteche, San Antono de Paso Typy y Juana Pabla Diaz de Montuoso Costa, Planificación del Ejercicio 2016</t>
  </si>
  <si>
    <t>2  mantenimientos del locales Deportivo del Pueblo de acuerdo al 20% de la Planificación del Ejercicio 2016</t>
  </si>
  <si>
    <t>7 Provision de Electrodomesticos   Frezeer (Matias Bado)-  Heladeras (Virgen del Pilar- Santo Domingo -Juana Pabla Diaz) y horno electrico (Matias Bado),  programados en la Planificacion Municipal del 2016</t>
  </si>
  <si>
    <t xml:space="preserve"> 10 reparaciones,(pared, techo, cerco perimetral) de acuerdo a la Microplanificacion  del MEC, y la Planificacion de Presupuestaria del Ejercicio Fiscal 2016</t>
  </si>
  <si>
    <t>2 Amortizacion de la deuda pendiente del Ejercicio Anterior de un total de 2 (Provision de Almuerzo escolar ) acuerdo a la Planificación del Ejercicio 2016</t>
  </si>
  <si>
    <t>19100 Raciones para 250 alumnos/as de la Educación Inicial y Educación Escolar Básica del 1° y 2 ciclo, matriculados en el año 2016 que reciben Almuerzo Escolar.</t>
  </si>
  <si>
    <t xml:space="preserve">3 Construcción de Aulas en el Colegio Nacional Nuestra Sra. de las Mercedes Arroyo Hondo, según planificación </t>
  </si>
  <si>
    <t xml:space="preserve">1 Construcción de Cerco Perimetral Esc. Básica N° 1819 Curupayty, según planificación </t>
  </si>
  <si>
    <t xml:space="preserve">1 Construcción de Aula para Jardín Esc. N° 93 Eloy Fariña Núñez, según planificación </t>
  </si>
  <si>
    <t>2 Construcción de Aula en Institución Educativa de la Ciudad de Humita para el Ejercicio Fiscal 2016</t>
  </si>
  <si>
    <t>2 Refracciones de Aulas del Distrito de Humaitá para el Ejercicio Fiscal 2016</t>
  </si>
  <si>
    <t>1 Construcción de una Cocina Comedor para la Institución Educativa para el Ejercicio Fiscal 2016</t>
  </si>
  <si>
    <t>3 Construcción de Baño Sexado para la Institución Educativa para el Ejercicio Fiscal 2016</t>
  </si>
  <si>
    <t>1 Construcción de Aula en Institución Educativa de la Ciudad de Humita para el Ejercicio Fiscal 2016</t>
  </si>
  <si>
    <t>1 Construcción de Aula con Cocina Comedor en Institución Educativa de la Ciudad de Humita para el Ejercicio Fiscal 2016</t>
  </si>
  <si>
    <t>150 Alumnos con  almuerzo escolar de la Educación Inicial y Educación Escolar Básica del 1° y 2° que recibirán almuerzo escolar, según Presupuesto Municipal del año 2016</t>
  </si>
  <si>
    <t>10 Construcciones y mantenimiento de locales escolares de acuerdo a la Microplanificacion del MEC, de acuerdo a la Planificación del Ejercicio 2016</t>
  </si>
  <si>
    <t>5 Construccion de mejoramientos de acceso a los locales escolares, Planificación del Ejercicio 2016</t>
  </si>
  <si>
    <t>8 Equipamiento a Escuela y Colegios ( 4 heladeras,1 Frezzzer y 4 ventiladores de techo) de acuerdo a la Microplanificacion del MEC, de acuerdo a la Planificación del Ejercicio 2016</t>
  </si>
  <si>
    <t xml:space="preserve"> 8 unidades de equipos didacticos, educacionales y recracional, de acuerdo a la Microplanificacion del MEC, de acuerdo a la Planificación del Ejercicio 2016</t>
  </si>
  <si>
    <t>8 Equipamiento a Escuela y Colegios (6 computadores de escritorio y 2 Noteboox) de acuerdo a la Microplanificacion del MEC, de acuerdo a la Planificación del Ejercicio 2016</t>
  </si>
  <si>
    <t>8 unidades de equipos, de acuerdo a la Microplanificacion del MEC, de acuerdo a la Planificación del Ejercicio 2016</t>
  </si>
  <si>
    <t>1  unidades de equipos, de acuerdo a la Microplanificacion del MEC, de acuerdo a la Planificación del Ejercicio 2016</t>
  </si>
  <si>
    <t>7  unidades de equipos, de acuerdo a la Microplanificacion del MEC, de acuerdo a la Planificación del Ejercicio 2016</t>
  </si>
  <si>
    <t>2 Fiscalizacion de obras de acuerdo a la Microplanificacion del MEC, y de Planificacion del Ejercicion 2016</t>
  </si>
  <si>
    <t>1 Pagos de compromisos  corrientes contraidos por la institucion, programada según Planificiacion municipal 2016</t>
  </si>
  <si>
    <t>5 Pagos de compromisos  corrientes contraidos por la institucion,  programada según Planificiacion municipal 2016</t>
  </si>
  <si>
    <t>330 alumnos/as de la Educación Inicial y Educación Escolar Básica del 1° y 2°, matriculados en el año 2016, según datos del MEC del año 2016.</t>
  </si>
  <si>
    <t>Construcción de 3 cocinas  nuevas, según planificación 2016</t>
  </si>
  <si>
    <t>Construccion de 4 nuevos sanitarios, según planificación 2016</t>
  </si>
  <si>
    <t>1 Construccion de Cerramiento Perimetral en la Escuela Basica Nº 585 Emiliano R. Fernandez y Colegio Nacional Yataity, según planificación 2016</t>
  </si>
  <si>
    <t>1 Reparación de Acceso al Colegio Nacional Manuel W. Chavez según Planificación 2016</t>
  </si>
  <si>
    <t>1 Reparaciones Varias en el Centro 12 - 26 Educativo según Planificación 2016</t>
  </si>
  <si>
    <t>1 Reparaciones Varias en la Escuela Básica Nº 2782 Mcal. Francisco S. López según Planificación 2016</t>
  </si>
  <si>
    <t>1 Reparaciones Varias y Pintura en la Escuela Básica Nº 2168 San Luis de Estero Punta según Planificación 2016</t>
  </si>
  <si>
    <t>1 Construcción de Parque Infantil en la Plaza de Ita Corá según Planificación 2016</t>
  </si>
  <si>
    <t>Mejoramiento de la Iluminación en el Pueblo de Mayor Martínez según Planificación 2016</t>
  </si>
  <si>
    <t>100 Km de Levantamiento y Reparación de Caminos Vecinales en el distrito de Mayor Martínez según Planificación 2016</t>
  </si>
  <si>
    <t>2 Reparación, pintura y ornamentación de Plazas de Mayor Martínez según Planificación 2016</t>
  </si>
  <si>
    <t>Pago de 2 deudas correspondiente al Ejercicio Anterior Por Construcciones, según planificación 2016</t>
  </si>
  <si>
    <t>1 Elaboración de Proyectos de Fonacide para las instituciones educativas de la zona según Planificación 2016</t>
  </si>
  <si>
    <t>219 alumnos/as de la Educación Inicial y Educación Escolar Básica del 1° y 2°, matriculados en el año,  según datos del MEC del año 2016.</t>
  </si>
  <si>
    <t>1 Pago de deuda correspondiente al Almuerzo  Escolar del 2015, según Planificación Municipal 2016</t>
  </si>
  <si>
    <t>1 construcción de Sanitario Sexado Rural a ser construida según Planificación Municipal 2016</t>
  </si>
  <si>
    <t>1 Obras de Reparación total de techo en la Escuela del Distrito de Paso de Patria, según Planificación Municipal 2016</t>
  </si>
  <si>
    <t>2 Sanitarios a ser reparados según Planificación Municipal 2016</t>
  </si>
  <si>
    <t>3 Construcción de Obra (Cocina Comedor) a construir según Planificación Municipal 2016</t>
  </si>
  <si>
    <t>1 Obra (Construcción de Aula) a construir según Planificación Municipal 2016</t>
  </si>
  <si>
    <t>Construcción de una Sala para Laboratorio a construir según planificación Municipal para el año 2016</t>
  </si>
  <si>
    <t>Un caminero y cantero a construir según Planificación Municipal 2016</t>
  </si>
  <si>
    <t>1 Reparación General Salón de Actos del Colegio Nacional San Patricio a realizar según Planificación Municipal 2016</t>
  </si>
  <si>
    <t>1 Reparación General y Pintura de la Escuela de Costa Parana a realizar según Planificación Municipal 2016</t>
  </si>
  <si>
    <t>3 Reparación y mejoramiento de las Plazas del Pueblo a realizar según Planificación Municipal 2016</t>
  </si>
  <si>
    <t>200 km de Caminos Vecinales a mejorar según Planificación Municipal 2016</t>
  </si>
  <si>
    <t>4 Km de Limpieza de Canal a realizar según Planificación Municipal 2016</t>
  </si>
  <si>
    <t>5 Puentes a construir según Planificación Municipal 2016</t>
  </si>
  <si>
    <t>Adquisición de 169 Pupitres a entregar en centros educativos, según Planificación Municipal 2016</t>
  </si>
  <si>
    <t>Adquisición de 14 Armarios a entregar en centros educativos, según Planificación Municipal 2016</t>
  </si>
  <si>
    <t>630 Alumnos de la Educación Inicial y Educación Escolar Básica  Que Reciben Almuerzo Escola en el Año Planificados Para el Año 2016</t>
  </si>
  <si>
    <t>1 Pago de Deuda Corrientes Por Bienes, Servicios e Insumos Programado Según Presupuesto Municipal Del Año 2016</t>
  </si>
  <si>
    <t xml:space="preserve"> 12 Obras de Reparación y Mantenimiento de Instituciones Educativas,  de Acuerdo a Planificación del Ejercicio 2016 </t>
  </si>
  <si>
    <t>1 Construcción de Pavimento Tipo Ho. Ao, Según Planificación del Ejercicio 2016</t>
  </si>
  <si>
    <t>8 Equipaminto a Escuelas y Colegios de Acuerdo a la Microplanificaión del MEC, de Acuerdo a la Planificación del Ejercicio 2016</t>
  </si>
  <si>
    <t>4 Elaboración de Proyectos, 3 Proyectos de Construcción de Aula y 1 Proyecto de Construcción de Cocina Comedor, Según Planificación Municipal 2016</t>
  </si>
  <si>
    <t>3 Pagos de Deudas de Inversión Física en Entidades Escolares, Programados Según Presupuesto Municipal 2016</t>
  </si>
  <si>
    <t>1 pago por Deuda Pendiente de Pago por Provision de Almuerzo Escolar correspondiente al Ejercicio Fiscal 2015, según planificación municipal 2016</t>
  </si>
  <si>
    <t>Construcción de  1 aula tipo 1, con techos de teja, segun planificacion municipal</t>
  </si>
  <si>
    <t xml:space="preserve">Construcción de 1 Sanitarios sexados tipo 2, con techos de teja, segun planificacion </t>
  </si>
  <si>
    <t xml:space="preserve"> 1 Aula  Escuela San Isidro Labrador Yataity a ser construida en el año 2016</t>
  </si>
  <si>
    <t xml:space="preserve">1 Mantenimiento y Reparacion de Techo en la Escuela Basica Niño Jesus - Asentamiento Belen, según planificación municipal </t>
  </si>
  <si>
    <t>1 Adenda Construccion de Aula Escuela San Isidro Labrador a ser realizada en el Ejercicio Fiscal 2016</t>
  </si>
  <si>
    <t>1 Adenda Construccion de Baño Sexado Colegio Mburica a ser realizda en el Ejercicio Fiscal 2016</t>
  </si>
  <si>
    <t>10 Mantenimiento y refacciones en general de 3 escuelas y 2 colegios del distrito, como ser reparación de pisos, techo, pinturas varias, aberturas en general, reparación de revoques</t>
  </si>
  <si>
    <t>1 Obras realizadas (Construccion de Adoquinado en Mburica), correspondientes a la inversion del 20 % de acuerdo a la planificacion municipal.</t>
  </si>
  <si>
    <t>120 alumnos de la Educación Inicial y Educación Escolar Básica del 1° y 2° que recibirán almuerzo escolar, según Presupuesto Municipal del año 2016</t>
  </si>
  <si>
    <t xml:space="preserve"> Construccion de 1 Cocina Comedor Esc. Nro 266 del Distrito de Villa Franca según Planificacion Municipal.</t>
  </si>
  <si>
    <t>1 Constrccion de cercado perimetral en la Esc. 586. Gaboto, segun presupuesto municipal 2016</t>
  </si>
  <si>
    <t>2 Reparacion y Mantenimiento de la Esc. Basica 266 y la Esc Basica 586 según Planificacion Municipal 2016</t>
  </si>
  <si>
    <t>3 Sanitarios a ser construidas dentro del distrito de Villa  Franca, Segun planificacion Municipal 2016</t>
  </si>
  <si>
    <t>1 Realización de mejoras en la Iglesia, correspondientes a la inversión del 20 % de acuerdo a la planificación municipal.</t>
  </si>
  <si>
    <t>502 alumnos/as de la Educación Inicial y Educación Escolar Básica del 1° y 2°, matriculados en el año 2013, según datos del MEC del año 2016</t>
  </si>
  <si>
    <t>4 Aulas a ser construidas en centros educativos, según Planificación Municipal 2016.</t>
  </si>
  <si>
    <t>Construcción 1 Aula en la Esc. N° 581 Don José Luis Villalba - Compañía Zanjita</t>
  </si>
  <si>
    <t>Construcción de 2 Cocina / Comedor para la Escuelas Públicas, según Planificación Municipal 2016</t>
  </si>
  <si>
    <t>5 Aulas a ser refaccionadas en centros educativos, según Planificación Municipal 2016</t>
  </si>
  <si>
    <t>1 Obra a ser realizadas para Mantenimiento y Reparación de Plaza Publica ubicada en frente a la Escuela, según Planificación Municipal 2016</t>
  </si>
  <si>
    <t>238 alumnos/as de la Educación Inicial y Educación Escolar Básica del 1° y 2°, matriculados en el año 2015, según datos del MEC y planificación Municipal 2016.</t>
  </si>
  <si>
    <t>Construcción de  Sanitarios, 7 sanitarios según planificación 2016</t>
  </si>
  <si>
    <t>Reparacion General de 9 Escuelas del Distrito de Laureles según Planificacion 2016</t>
  </si>
  <si>
    <t>Adquisicion de 11 Bebederos para las Escuelas del Distrito de Villalbin, según planificacion 2016</t>
  </si>
  <si>
    <t>Adquisicion de toner Kyocera 1147, Cartucho HP 122 negro XL, Cartucho HP 662 negro XL, 1 Copiadora  multifuncional Kyocera ,Equipos Informaticos para las Escuelas del Distrito de Villalbin, según planificacion 2016</t>
  </si>
  <si>
    <t>Adquisicion de 3 desmalezadoras para las Escuelas  del Distrito de Villalbin, según planificacion 2016</t>
  </si>
  <si>
    <t>Adquisicion de  5 Estantes, 8 armarios,8 escritorios,3 escritorio con silla, 3 mesas para las Escuela Centro del Distrito de Villalbin,según planificacion 2016</t>
  </si>
  <si>
    <t>13 Elaboracion de proyectos, planos, fizcalizacion de obras realizadas en instituciones educativasr ealizado / 12Proyectos , planos, fizcalizacionde obras planificado para el año 2016</t>
  </si>
  <si>
    <t>400  alumnos/as de la Educación Inicial y Educación Escolar Básica del 1° y 2 ciclo, matriculados en el año 2015 que reciben Almuerzo Escolar.</t>
  </si>
  <si>
    <t>10.19.  San Alberto</t>
  </si>
  <si>
    <t>10.20. Iruña</t>
  </si>
  <si>
    <t>10.21. Tavapy</t>
  </si>
  <si>
    <t>12.01. Pilar</t>
  </si>
  <si>
    <t>12.02. Alberdi</t>
  </si>
  <si>
    <t>12.03. Cerrito</t>
  </si>
  <si>
    <t>12.04. Desmochados</t>
  </si>
  <si>
    <t>400 alumnos/as de Instituciones de Educación Inicial y Educación Escolar Básica del Distrito beneficiados con almuerzo escolar en el año 2016 según planificación</t>
  </si>
  <si>
    <t>Adquisición de 650 sillas pedagógica y pupitres a ser otorgados a Instituciones Educativas en el año 2016</t>
  </si>
  <si>
    <t>640 alumnos/as de la Educación Inicial y Educación Escolar Básica del 1° y 2°, matriculados en el año 2016, según datos del MEC del año 2016.</t>
  </si>
  <si>
    <t>Proyectos de Inversión Publica y de Desarrollo</t>
  </si>
  <si>
    <t>compras de 30 sillas con pupitres para las escuelas y colegios año 2016.</t>
  </si>
  <si>
    <t>10 deudas a pagar por construcciones de  Escuela Nº 154 - Esc. San Francisco de Asis - Colegio Nacional H.C.G.</t>
  </si>
  <si>
    <t>203 alumnos/as de la Educación Inicial y Educación Escolar Básica del 1° y 2°, matriculados en el año 2016, según datos del MEC del año 2016.</t>
  </si>
  <si>
    <t>Comerdor</t>
  </si>
  <si>
    <t>5 sanitarios a ser construidos y/o reparados en centros educativos del municipio, según planificacion 2016</t>
  </si>
  <si>
    <t>28.584 m2 de enripeado y reparacion de caminos que conducen a instituciones publicas del distrito (una escuela y un colegio de la zona de potrero sur)</t>
  </si>
  <si>
    <t>900 alumnos de la Educación Inicial y Educación Escolar Básica del 1° y 2° que recibirán almuerzo escolar, según Presupuesto Municipal del año 2016</t>
  </si>
  <si>
    <t>Construcción de 20 aulas nuevas en centros educativos, según Planificación Municipal 2016</t>
  </si>
  <si>
    <t>Construcción de 1.540 Metros cuadrados de  empedrados para acceso a instituciones Escolares, según Planificación Municipal 2016</t>
  </si>
  <si>
    <t>1  pago de deudas pendientes de gastos de capital de ejercicios anteriores a pagar en el año, según planificacion Municipal.</t>
  </si>
  <si>
    <t>2 cocinas comedor a ser construídas en centros educativos del Municipio, según Planificación Municipal 2016.</t>
  </si>
  <si>
    <t>3  aulas a ser construídas y/o reparadas en centros educativos del Municipio, según Planificación Municipal 2016.</t>
  </si>
  <si>
    <t>12.07. Humaita</t>
  </si>
  <si>
    <t xml:space="preserve">12.09. Laureles </t>
  </si>
  <si>
    <t>541 Alumnos de la Educación Inicial y Educación Escolar Básica del 1° y 2°, matriculados en el año 2015, según datos del MEC y Planificación Municipal 2016.</t>
  </si>
  <si>
    <t>Construcción de 2 cocinas comedor tipo 1, según Planificación 2016.</t>
  </si>
  <si>
    <t>Construcción de 880 ml de cercado perimetral para colegios y escuelas, según Planificación 2016.</t>
  </si>
  <si>
    <t>7 Construcción de Sanitarios, según Planificación 2016.</t>
  </si>
  <si>
    <t>Reparación General de 7 escuelas del Distrito de Laureles según Planificación 2016.</t>
  </si>
  <si>
    <t>Adquisición de 16 Equipos Informáticos para las Escuelas del Distrito de Laureles, según Planificación 2016.</t>
  </si>
  <si>
    <t>Adquisición de 23 sillas pupitres para la Escuela Centro del Distrito de Laureles, según planificación 2016.</t>
  </si>
  <si>
    <t>Adquisición de 1 Estante para la escuela Centro del Distrito de Laureles, según Planificación 2016.</t>
  </si>
  <si>
    <t>Adquisición de 384 Unidades de materiales didácticos para las Escuelas del Distrito de Laureles, según Planificación 2016.</t>
  </si>
  <si>
    <t>6 Elaboración de proyectos, planos, fiscalización de obras realizadas en instituciones educativas, realizado planificado para el año 2016.</t>
  </si>
  <si>
    <t>12.11. Paso de Patria</t>
  </si>
  <si>
    <t>12.13. Tacuaras</t>
  </si>
  <si>
    <t>12.14. Villa Franca</t>
  </si>
  <si>
    <t>12.15. Villa Oliva</t>
  </si>
  <si>
    <t>12.16. Villalbin</t>
  </si>
  <si>
    <t>13. Amambay</t>
  </si>
  <si>
    <t>13.01 Pedro Juan Caballero</t>
  </si>
  <si>
    <t>1.285 (un mil doscientos ochenta y cinco) alumnos/as de la Educación Inicial y Educación Escolar Básica del 1° y 2°, matriculados en el año 2016, según datos del MEC del año 2016.</t>
  </si>
  <si>
    <t>13 (aulas) a ser construidas en centros Educativos del Municipio, según Planificación Municipal 2016.</t>
  </si>
  <si>
    <t>12 (doce) Aulas a ser reparadas y/o refaccionadas en centros educativos, según Planificación Municipal 2016.</t>
  </si>
  <si>
    <t>6 (seis) Baños a ser reparados en centros educativos, según Planificación Municipal 2016.</t>
  </si>
  <si>
    <t>6 (seis) aulas a ser demolidas por falla de estructura en centros educativos, según Planificación Municipal 2016.</t>
  </si>
  <si>
    <t>2.450 (dos mil cuatrocientos cincuenta) unidades de Sillas Pedagógicas a ser entregadas en centros educativos, según Planificación Municipal 2016.</t>
  </si>
  <si>
    <t>13.02. Bella Vista</t>
  </si>
  <si>
    <t>8 construcciones de aulas, en escuelas básicas y colegios del Distrito según planificacion municipal 2016</t>
  </si>
  <si>
    <t xml:space="preserve">3 Construcciones de baños a ser realizados, según planififcación Municipal </t>
  </si>
  <si>
    <t>3 Obras de refaccion  de baños según planificacion municipal 2016</t>
  </si>
  <si>
    <t>2 Obras de construccion de comedor según planificacion municipal 2016</t>
  </si>
  <si>
    <t>Adquisicion de 30 Equipos Informaticos para instituciones educativas con sede enla ciudad de Salto del Guaira</t>
  </si>
  <si>
    <t>Almuerzo Escolar para 1500 Alumnos de diferentes instituciones escolares del distrito</t>
  </si>
  <si>
    <t xml:space="preserve"> 1 Deuda por provision de Almuerzo Escolar  planificado para el ejercicio 2016</t>
  </si>
  <si>
    <t>Construcción de 6 Aulas en diferentes estamentos escolares de Corpus Christi Construcciones de  Aulas  en diferentes estamentos escolares del distrito 3en la Esc.Bas. 5798 Cerro Pyta, 2 Aulas en la Esc. Bas. Defensores del Chaco</t>
  </si>
  <si>
    <t xml:space="preserve"> 1 Deuda por Gastos de Capital (Construcciones)  planificado para el ejercicio 2016</t>
  </si>
  <si>
    <t>Construccion de 2 Baños Sexados en centro educativos, según micro planificacion del año  2016</t>
  </si>
  <si>
    <t>Reparacion de 1 Aulas e Iluminacion ,refaccion en general segun Planificacion Municipal 2016</t>
  </si>
  <si>
    <t>Equipamiento de las Instituciones Educativas</t>
  </si>
  <si>
    <t xml:space="preserve">Equipamiento de 14 Aulas con 517 Pupitres p/ Escuelas Nivel Basico, según planificación Municipal </t>
  </si>
  <si>
    <t xml:space="preserve">Pupitres </t>
  </si>
  <si>
    <t>Reparacion de 2 baño sexado en la Escuela Basica San Antonio de Padua nº 5716, Esc. Basica nº 3561 Tava Jopoi según Planificacion  2016</t>
  </si>
  <si>
    <t xml:space="preserve">Almuerzo Escolar para Alunmos de diferentes instituciones escolares del distrito, según planificación municipal </t>
  </si>
  <si>
    <t>Construccion de 2 Cocina Comedor  en Inst. Educativaqs  de Villa Ygatimi,  según planificación municipal</t>
  </si>
  <si>
    <t>Construccion de Aula en Centro Educativo Villa Ygatimi,  según planificación municipal</t>
  </si>
  <si>
    <t>Construccion de 1.200 m2 de Pavimento Petreo Tipo Empedrado en Casco Urbano,  según planificación municipal</t>
  </si>
  <si>
    <t>22500 raciones para 150 alumnos de la Escuela Basica Nº 5775 Don Carlos Antonio Lopez y  Escuela Basica Nº 13.808 Colonia San Ramon que recibirán almuerzo escolar, según Presupuesto Municipal del año 2016.</t>
  </si>
  <si>
    <t>2 Refaccion del antiguo Pabellón y sala de informatica del Colegio Nacional de Itanará, según Planificación Municipal 2016.</t>
  </si>
  <si>
    <t>Construcción de 01 Aula, según Planificación Municipal 2016.</t>
  </si>
  <si>
    <t>Construcción de 2 Sanitarios nuevos en centros educativos (Locales Escolares de la Colonia San Ramon y Colonia Ybycui), según Planificación Municipal 2016.</t>
  </si>
  <si>
    <t>Construcción de 01 Comedor en la Colonia San Francisco, según Planificación Municipal 2016.</t>
  </si>
  <si>
    <t>Construcción de 01 local para la Supervisión Escolar en el Distrito de Itanara, según Planificación Municipal 2016.</t>
  </si>
  <si>
    <t>Adquisición de 03 equipos de Fotocopiadora para centros educativos, según Planificación Municipal 2016</t>
  </si>
  <si>
    <t>190 alumnos de la Educación Inicial y Educación Escolar Básica del 1° y 2° que recibirán almuerzo escolar, según Presupuesto Municipal del año 2016</t>
  </si>
  <si>
    <t>Construcción de 02 aulas de 5.80 x 6.80 Mts en la Escuela Basica Nº 7849 Yapos, según Planificación Municipal 2016</t>
  </si>
  <si>
    <t>Construcción de 01 aulas de 5.80 x 6.80 Mts en el Colegio Nacional de Ypejhu , según Planificación Municipal 2016</t>
  </si>
  <si>
    <t>Construcción de 01 aulas de 5.80 x 6.80 Mts en  la escuela  Basica Nº 7809 Kaaguy Potyra , según Planificación Municipal 2016</t>
  </si>
  <si>
    <t>Construcción de 02 aulas de 5.80 x 6.80 Mts en la Escuela Basica Nº 4603 Miguel Araujo Rodriguez  según Planificación Municipal 2016</t>
  </si>
  <si>
    <t>Construcción de 01 aulas de 5.80 x 6.80 Mts en  la escuela  Basica Nº 4755 San Rafael , según Planificación Municipal 2016</t>
  </si>
  <si>
    <t>Construcción de 01 aulas de 5.80 x 6.80 Mts en  la escuela  Basica Nº 5606 Pypyku , según Planificación Municipal 2016</t>
  </si>
  <si>
    <t>Construcción de 1019 M2 de Pavimnto petreo tipo empedrado - continuacion de la Avenida 21 de Setiembre del casco Urbano acceso en las inmediaciones de la Escuela Basica 440 Virgen de Fatima , según Planificación Municipal 2016</t>
  </si>
  <si>
    <t>1 Estudios y Proyectos de Inversión  realizadas con relacion  a los recursos de Fonacide según Planificación Municipal 2016</t>
  </si>
  <si>
    <t>Provision de Almuerzo Escolar para 2500  Alunmos de diferentes instiruciones escolares del distrito</t>
  </si>
  <si>
    <t>Almuerzos</t>
  </si>
  <si>
    <t>7 Construccion de Aulas  en diferentes estamentos escolares de Francisco Caballero Alvarez</t>
  </si>
  <si>
    <t>Adquisicion de equipos informaticos para la educacion</t>
  </si>
  <si>
    <t xml:space="preserve">Sillas  con pupitres </t>
  </si>
  <si>
    <t>185 alumnos de la Educación Inicial y Educación Escolar Básica del 1° y 2° ciclo que recibirán almuerzo escolar, según Presupuesto Municipal del año 2016</t>
  </si>
  <si>
    <t>44,805 raciones para 185 alumnos de la Educación Inicial y Educación Escolar Básica del 1° y 2° ciclo, según Presupuesto Municipal del año 2016</t>
  </si>
  <si>
    <t>Realización de 1 Obras:  Construccion de Tinclados escuela 1281</t>
  </si>
  <si>
    <t>02 Murallas  a ser   refaccionadas en centros educativos, según Planificación Municipal 2016</t>
  </si>
  <si>
    <t>15 unidades de Maquinas, Equipos y Herramientas Mayores a ser adquiridos en el año 2016</t>
  </si>
  <si>
    <t>207 de ssillas pedagógicas planificadas a entregar en el año 2016</t>
  </si>
  <si>
    <t xml:space="preserve"> 30 unidades de   escritorios pedagogicas planificados  a entregar en el año 2016</t>
  </si>
  <si>
    <t>escritorios</t>
  </si>
  <si>
    <t xml:space="preserve"> 30 unidades de armarios  planificados a entregar en el año 2016</t>
  </si>
  <si>
    <t xml:space="preserve"> 30 unidades de  mesas planificados a entregar en el año 2016</t>
  </si>
  <si>
    <t>mesas</t>
  </si>
  <si>
    <t xml:space="preserve"> 11  unidades aires acondicionados  planificados a entregar en el año 2016</t>
  </si>
  <si>
    <t>Almuerzo Escolar para Alunmos de diferentes instituciones escolares del distrito</t>
  </si>
  <si>
    <t>Construccion de 2 Cocina Comedor  en Inst. Educativaqs  de La Paloma del Espiritu Santo</t>
  </si>
  <si>
    <t>Construccion de 1.200 m2 de Pavimento Petreo Tipo Empedrado en Casco Urbano de La Paloma</t>
  </si>
  <si>
    <t>278  alumnos de educación inicial y escolar básica 1o y 2o ciclos matriculados ante el MEC de las escuelas 2.407 Laurel, . Presupuestado y planificado en el ejercicio 2.016</t>
  </si>
  <si>
    <t>68   alumnos de educación inicial y escolar básica 1o y 2o ciclos matriculados ante el MEC de las escuela  FLAVIO MARTINEZ de la Colonia Cerro Azul,  que esta  Presupuestado y planificado en el ejercicio 2.016</t>
  </si>
  <si>
    <t>1 Construcción  de aulas en la Escuela San Jose Obrero  de Nueva Esperanza terminación de aula. Planificado y presupuestado en el ejercicio 2.016</t>
  </si>
  <si>
    <t>1 Cercado Perimetral a construir en la  Escuela San Jose Obrero de Nueva Esperanza  según  presupuesto  planificado, para  el Ejercicio 2016</t>
  </si>
  <si>
    <t>Construcción de tres  Aula en la Escuela  San Antonio de Nueva Esperanza  cuya Inversion  ha sido   Planificado y presupuestado  de estos recursos Fonacide  para el periodo del ejercicio del año  2.016</t>
  </si>
  <si>
    <t>Construccion de 1 Servicio Higienico para Prescolar Escuela Basica nº 7985 San Antonio  Planificado y presupuestado  de estos recursos Fonacide  para el periodo del ejercicio del año  2.016</t>
  </si>
  <si>
    <t>Construcción de 1 Baño Sexado en  la  Escuela Santa Lucia de la ciudad de Nueva Esperanza  cuya  Inversion ha sido  Planificado y presupuestado en gs. 30,000,000 gs. Para  el ejercicio 2.016</t>
  </si>
  <si>
    <t>Construcción de una Cocina -Comedor   en Escuela de la Colonia Laurel,  destinado para uso de los Alumnos de dicha Escuela,  Planificado y presupuestado en el ejercicio 2.016</t>
  </si>
  <si>
    <t>300 metros lineal  de Construcción de un Cercado Perimetral en el Colegio Nacional de la Comunidad de Laurel. Cuya Inversion ha sido   Planificado y presupuestado  en gs.  65,325,000  para  el ejercicio 2.016</t>
  </si>
  <si>
    <t xml:space="preserve">150 m2 construccion de 1 biblioteca para alumnos del Colegio Nacional Nueva Esperanza, según planificación municipal </t>
  </si>
  <si>
    <t>El proyecto presentado dos Baños Sexdos en la Escuela San Miguel  de la Comunidad de Laurel. Cuya Inversion ha sido   Planificado y presupuestado  en gs.  53,240.000  para  el ejercicio 2.016</t>
  </si>
  <si>
    <t>Construcción de un Aula en la Escuela  5703 Flavio Martinez de la colonia Cerro Azul,  cuya Inversion  ha sido   Planificado y presupuestado  de estos recursos Fonacide  para el periodo del ejercicio del año  2.016</t>
  </si>
  <si>
    <t>1 Obra de Reparacion de techo del Colegio Nacional de la Colonia LAUREL, planificada com Presupuesto Fonacide para el Ejerccio del año 2016</t>
  </si>
  <si>
    <t>Adquisicion d e Muebles, Pupitres, Armario, Sillas, Mezas e Instalacion para un aula de 30 alumnos y un parque para la Esc. Nº 2564 Mcal. Lopez de la Colonia Marangatu</t>
  </si>
  <si>
    <t xml:space="preserve">4 aulas  de obras de Reparacion  mayor para la Esc. Nº 4285 Itambey  de la colonia Itambey, según planificación municipal </t>
  </si>
  <si>
    <t xml:space="preserve">1  aula de obras de Reparacion , arreglo y pintura   para la Esc. Nº 2564 Mcal. Lopez de la Colonia Marangatu, según planificación municipal </t>
  </si>
  <si>
    <t>Almuerzo escolar para 1200 alumnos de la Educación Inicial y Educación Escolar Básica del 1° y 2° que recibirán almuerzo escolar, según Presupuesto Municipal del año 2016</t>
  </si>
  <si>
    <t>Deudas Pendientes de Pago de Gastos Corrientes  según planificacion año 2016</t>
  </si>
  <si>
    <t>Construcción de 4 aulas nuevas en las Esc. No.3848 Don C.A. Lopez,Esc. Básica 7454; Ntra. Sra. De la Asuncion,Esc. Básica No.5790 Cerro Camping, según Planificación Municipal 2016</t>
  </si>
  <si>
    <t>Adquisicion de 30 computadoras para instituciones educativas del distrito de ybyrarobana</t>
  </si>
  <si>
    <t>6 Deudas Pendientes de Pago de Gastos de Capital  según planificacion año 2016</t>
  </si>
  <si>
    <t>550 alumnos de la Educación Inicial y Educación Escolar Básica del 1° y 2° que recibirán almuerzo escolar, según Presupuesto Municipal del año 2016</t>
  </si>
  <si>
    <t>Construccion de 2 Aulas Esc. Basica No. 5739  Fraccion 1500 Tte. Rojas Silva</t>
  </si>
  <si>
    <t>Reparacion de (Dos) Baños en la Esc- Basica 5740 Tacuapi y Esc- Basica 3233 Santa Luisa</t>
  </si>
  <si>
    <t xml:space="preserve"> 1 Baño planificado para construir en año 2016</t>
  </si>
  <si>
    <t>Construccion de (DOS) Aulas  en La Esc-Basica 3836 San Antonio de Padua</t>
  </si>
  <si>
    <t xml:space="preserve">Construccion de (UN)  Aula Escuela Basica 5770 Modulo 4 Britez Cue, segun planificacion </t>
  </si>
  <si>
    <t>Reparacion de Un Aula  Esc. Basica No. 5735 Carupera II, segun planificacion Municipal</t>
  </si>
  <si>
    <t>Reparacion de (UN) Aula Esc-Basica No.3233 Santa Luisa</t>
  </si>
  <si>
    <t>3 Baños Esc. Basica 5771 y 1 Baño Esc. Basica 3836 San Antonio, a refaccionar segun planificacion</t>
  </si>
  <si>
    <t>Adquisición de 450 unidades de Sillas Pedagógicas, ser entregados a Escualas Públicas del Distrito, segun planificacion</t>
  </si>
  <si>
    <t>3 Deuda pendiente de pago por reparacion de de 4 Aulas, un Pabellon c/2 Aulas y La Construccion de 1 Aula y 1 Baño</t>
  </si>
  <si>
    <t>645 alumnos de la Educación Inicial y Educación Escolar Básica del 1° y 2° que recibirán almuerzo escolar, según Presupuesto Municipal del año 2016</t>
  </si>
  <si>
    <t xml:space="preserve"> Construccion de  2 cocina comedor planificados para construir en el año 2016</t>
  </si>
  <si>
    <t>2 Deudas pendientes de pago por Construcción de 8 Aulas en Escuelas Básicas y Colegio Nacional del distrito y baños sexados en el Colegio  Nacional Divino Niños Jesus</t>
  </si>
  <si>
    <t>14.02. Corpus Christi</t>
  </si>
  <si>
    <t>280(quinientos setenta) alumnos/as de la Educación Inicial y Educación Escolar Básica del 1° y 2°, matriculados en el año 2016, planificados para beneficiarlos mensualmente,  según datos del MEC del año 2016.</t>
  </si>
  <si>
    <r>
      <rPr>
        <sz val="10"/>
        <color indexed="8"/>
        <rFont val="Calibri"/>
        <family val="2"/>
        <scheme val="minor"/>
      </rPr>
      <t>6 ( seis ) construccion de sanitarios nuevos en Instituciones educativas previstas por el MEC en la microplanificacion del año 2016</t>
    </r>
  </si>
  <si>
    <t>14.03. Villa Curuguaty</t>
  </si>
  <si>
    <t>14.04. Yasy Cañy</t>
  </si>
  <si>
    <t>128 (m2) Construcción del acceso a la ciudad de Yasy Cañy prevista para el año 2016.</t>
  </si>
  <si>
    <t>1 (una) Construcción de Plaza Pública en la zona centrica de la ciudad de Yasy Cañy, prevista para el año 2016.</t>
  </si>
  <si>
    <t>7600 metros cuadrados de construcción de empedrado en zona urbana de la ciudad de Yasy Cañy.</t>
  </si>
  <si>
    <t>5 (cinco) construcción de puentes en el distrito de Yasy Cañy, planificado para el año 2016.</t>
  </si>
  <si>
    <t>14.11. Nueva Esperanza</t>
  </si>
  <si>
    <t>Comedores</t>
  </si>
  <si>
    <t>420 alumnos de la Educación Inicial y Educación Escolar Básica del 1° y 2° que recibirán almuerzo escolar, según Presupuesto Municipal del año 2016</t>
  </si>
  <si>
    <t>15000 Raciones de almuerzo Escolar beneficiando a 940 alumnos de 9 Instituciones Educativas</t>
  </si>
  <si>
    <t>25 Construcciones de Aulas para escuelas  en el año 2016</t>
  </si>
  <si>
    <t>5 Equipos de Informaticas a ser adquiridos, según planificación municipal 2016</t>
  </si>
  <si>
    <t>1.800 alumnos/as de la Educación Inicial y Educación Escolar Básica del 1° y 2°, matriculados en el año 2016, según datos del MEC del año 2016.</t>
  </si>
  <si>
    <t>Construcción de 10 aulas, según Planificación Municipal 2016</t>
  </si>
  <si>
    <t>Construcción de 2 Aljibes, según Planificación Municipal 2016</t>
  </si>
  <si>
    <t xml:space="preserve">Equipamientos en las Instituciones Públicas </t>
  </si>
  <si>
    <t>3 Proyectores a ser entregados en centros educativos, según Planificación Municipal 2016</t>
  </si>
  <si>
    <t>Proyectores</t>
  </si>
  <si>
    <t>3 Parlantes a ser entregados en centros educativos, según Planificación Municipal 2016</t>
  </si>
  <si>
    <t>Parlantes</t>
  </si>
  <si>
    <t>400 sillas Pedagogicas a ser entregadas en centros educativos, según Planificación Municipal 2016</t>
  </si>
  <si>
    <t>31 computadoras a ser entregadas en centros educativos, según Planificación Municipal 2016</t>
  </si>
  <si>
    <t>26 Armarios a ser entregados en centros educativos, según Planificación Municipal 2016</t>
  </si>
  <si>
    <t xml:space="preserve">Armarios </t>
  </si>
  <si>
    <t>25 Escritorios a ser entregados en centros educativos, según Planificación Municipal 2016</t>
  </si>
  <si>
    <t xml:space="preserve">Escritorios </t>
  </si>
  <si>
    <t>80 ventiladores de techo a ser entregados en centros educativos, según Planificación Municipal 2016</t>
  </si>
  <si>
    <t>10 Acondicionadores de aire a ser entregados en centros educativos, según Planificación Municipal 2016</t>
  </si>
  <si>
    <t>10 Mobiliarios para cocinas a ser entregados en centros educativos, según Planificación Municipal 2016</t>
  </si>
  <si>
    <t>Mobiliarios para cocinas</t>
  </si>
  <si>
    <t>20 Elementos para practicas de deportes a ser entregados en centros educativos, según Planificación Municipal 2016</t>
  </si>
  <si>
    <t xml:space="preserve">3500 Almuerzo Escolar para Alumnos de diferentes instituciones escolares del distrito, según planificación Municipal </t>
  </si>
  <si>
    <t>Construcción  de 5 Comedores  en estamentos escolares de Loma Plata</t>
  </si>
  <si>
    <t>Construcción  de 5 aulas en estamentos escolares de Loma Plata</t>
  </si>
  <si>
    <t>16.02. Filadelfia</t>
  </si>
  <si>
    <t>16.03. Loma Plata</t>
  </si>
  <si>
    <t>07. Itapúa</t>
  </si>
  <si>
    <t xml:space="preserve">07. 01. Encarnación </t>
  </si>
  <si>
    <t>Construcción de  4540 metros lineales de pavimento tipo empedrado con cordón cuneta, según planificación municipal</t>
  </si>
  <si>
    <t xml:space="preserve">272  Adquisición de Muebles y Equipos (80 escritorio p/profesor; 80 sillas para profesor, 85 armarios bajos con dos puertas, 27 estantes para bibliotecas)  </t>
  </si>
  <si>
    <t>5 Reparaciones Mayores en infraestructura de aulas en  Escuelas, según planificación municipal- plurianual 2016</t>
  </si>
  <si>
    <t xml:space="preserve">1 Pagos de Deudas Pendientes de Pago de Gastos de Ejercicios Anteriores, según  planificación municipal </t>
  </si>
  <si>
    <t>07. 02. Bella Vista</t>
  </si>
  <si>
    <t>Estudios Proyectos Inversión</t>
  </si>
  <si>
    <t>850 Alumnos de Educación Inicial, Educación Básica del 1er. Y 2do. Matriculados en el año 2016, según datos del MEC del año 2016</t>
  </si>
  <si>
    <t>Construcción de 6 Sanitario, según Microplanificación 2016</t>
  </si>
  <si>
    <t>5 Obras a realizar (Mantenimiento general de Escuela), según Microplanificación</t>
  </si>
  <si>
    <t>Construcción de Pista, Techo  en Galería y Refacciones eléctricas según Microplanificación año 2016</t>
  </si>
  <si>
    <t>7 Aulas nuevas a construirse con pista de formación, cambios de techo, según microplanificación y Presupuesto 2016</t>
  </si>
  <si>
    <t xml:space="preserve">725 Adquisición Muebles Escolares (Pupitres), según microplanificación y Presupuesto 2016 </t>
  </si>
  <si>
    <t>30 Proyectos a Elaborarse para las Obras Planificados para el año 2016</t>
  </si>
  <si>
    <t>5 Aulas a ser reparadas, remodeladas, refaccionadas en centros educativos en el año 2016</t>
  </si>
  <si>
    <t>709 Alumnos de Educacion Inicial, Educacion Basica del 1er. Y 2do.ciclo, según datos de de la microplanificación y prioridades</t>
  </si>
  <si>
    <t>Construcción de 9 sanitarios, según la microplanificación para el año 2016</t>
  </si>
  <si>
    <t>Reparación de 4 sanitarios sexados, según la microplanificación para el año 2016</t>
  </si>
  <si>
    <t>Reparación de 24 Aulas en 8 Instituciones, según microplanificación para el año 2016</t>
  </si>
  <si>
    <t xml:space="preserve">Construcción de 25.000 m2 de pavimentación petrea  según presupuesto 2016 </t>
  </si>
  <si>
    <t xml:space="preserve"> 1 Adenda de Salón Comunitario  Planificado según el Presupuesto Año 2016</t>
  </si>
  <si>
    <t>Adquisición de 875 Muebles Escolares (sillas, mesas, estantes, escritorios), según microplanificación para 17 Instituciones</t>
  </si>
  <si>
    <t>Pago de 3 deudas pendientes de pago del ejercicio anterior</t>
  </si>
  <si>
    <t>07. 05. Capitán Miranda</t>
  </si>
  <si>
    <t xml:space="preserve">1 Construcción de un aula 5,80 x 6,80 Escuela Basica N° 1546 Alborada, según planificación municipal </t>
  </si>
  <si>
    <t xml:space="preserve"> 3 Baños a ser Construidos en centros educativos, según planificación </t>
  </si>
  <si>
    <t xml:space="preserve">1 Obra de Infraestructura en la Escuela Basica N° 8008 Luz y Esperanza, según planificación municipal </t>
  </si>
  <si>
    <t xml:space="preserve">1 Terminación de un baño en la Escuela Basica N° 732 Crecensio Troche, según planificación municipal </t>
  </si>
  <si>
    <t xml:space="preserve">1  Reparación y Pintura en la Escuela Basica N° 299 Asunción Escalada, según planificación municipal </t>
  </si>
  <si>
    <t xml:space="preserve">1 Construcciiones de obras de Infraestructura en Escuelas y Colegios del Distrito de Capitan Miranda, según planificación municipal </t>
  </si>
  <si>
    <t xml:space="preserve">Construcción de 1458 m2 de empedrado con cordón cuneta según planificación, según planificación municipal </t>
  </si>
  <si>
    <t>Adquisición de 1000 unidades de mesitas con sillas para alumnos, según planificación</t>
  </si>
  <si>
    <t>07. 06.  Nueva Alborada</t>
  </si>
  <si>
    <t>538 Alumnos/as de la Educación Inicial y Educación Escolar Básica del 1° y 2°, a ser beneficiados en el año 2016 de un total de 1300 Alumnos Matriculados, según Planificación Municipal 2016.</t>
  </si>
  <si>
    <t>1 Deuda a pagar por Provisión de Almuerzo Escolar, según Planificación Municipal 2016</t>
  </si>
  <si>
    <t>6 aula nueva a ser construida en Centro Educativo, según Planificación Municipal 2016</t>
  </si>
  <si>
    <t xml:space="preserve">Aula  </t>
  </si>
  <si>
    <t>32 aulas a ser remodeladas, refaccionadas y ampliadas Centros Educativos, según Planificación Municipal 2016</t>
  </si>
  <si>
    <t>1 Mejoras en la Plaza Puerto Samuhu, según Planificación Municipal 2016</t>
  </si>
  <si>
    <t>6 Sanitario nuevo a ser construidos en Centro Educativo, según Planificación Municipal 2016</t>
  </si>
  <si>
    <t>1  Cancha en la Escuela Esc.N°813 Padre Klehr, según Planificación Municipal 2016</t>
  </si>
  <si>
    <t>1 Obra de Refacción y Ampliación del Palacete Municipal, según Planificación Municipal 2016</t>
  </si>
  <si>
    <t>20 Km. de pavimento petreo tipo enripiado, según Planificación Municipal 2016</t>
  </si>
  <si>
    <t>07. 07. Carmen del Paraná</t>
  </si>
  <si>
    <t>Almuerzo
Escolar</t>
  </si>
  <si>
    <t>26.192 Raciones de Almuerzo Escolar según planificación del año 2016.</t>
  </si>
  <si>
    <t>Construcción de una Cocina - Comedor y deposito para Escuela, según Planificación para el Año 2016</t>
  </si>
  <si>
    <t>Construcción de 4 Aulas en varias Escuelas del Distrito, según Planificación para el Año 2016</t>
  </si>
  <si>
    <t>5 Obras de  Reparaciones de Escuelas del Distrito, planificado para el Año 2016</t>
  </si>
  <si>
    <t>07. 08. Coronel Bogado</t>
  </si>
  <si>
    <t>5.310 alumnos/as de la Educación Inicial y Educación Escolar Básica del 1° y 2°, matriculados  en el año 2016, según datos del MEC del año 2016.</t>
  </si>
  <si>
    <t>9 Construcción de aulas nuevas en centros educativos, según Planificación Municipal 2016</t>
  </si>
  <si>
    <t>7 reparación de aulas en centros educativos, según Planificación Municipal 2016</t>
  </si>
  <si>
    <t>1 Construción Cocina Comedor, según Planificación Municipal 2016</t>
  </si>
  <si>
    <t>2 laboratorios construidos en centros educativos, según Planificación Municipal 2016</t>
  </si>
  <si>
    <t>2 reparaciones electricas, según Planificación Municipal 2016</t>
  </si>
  <si>
    <t>9 sanitarios nuevos, según Planifiación Municipal 2016</t>
  </si>
  <si>
    <t>3 Cercado Perimetral, según Planificación Municipal 2016</t>
  </si>
  <si>
    <t>1 Techado Polideportivo Municipal, según Planificación Municipal 2016</t>
  </si>
  <si>
    <t>920 Sillas Pupitres y mesas para las Instituciones Educativas del distrito de Cnel. Bogado, según Planificación Municipal 2016</t>
  </si>
  <si>
    <t>07. 09. Carlos Antonio López</t>
  </si>
  <si>
    <t>Para construcción de  ocho (8) baños diferenciados s/planificación año 2016</t>
  </si>
  <si>
    <t>Para Reparación de  cinco (5) aulas s/planificación año 2016</t>
  </si>
  <si>
    <t xml:space="preserve">Para  Reparación  de nueve (9) Baños planificado para el año 2016 </t>
  </si>
  <si>
    <t>30</t>
  </si>
  <si>
    <t>520</t>
  </si>
  <si>
    <t>540</t>
  </si>
  <si>
    <t>985</t>
  </si>
  <si>
    <t xml:space="preserve"> 7 Deudas por construcción de aulas y baños diferenciacos, según planificación 2016</t>
  </si>
  <si>
    <t>7</t>
  </si>
  <si>
    <t>07.10. Natalio</t>
  </si>
  <si>
    <t>3.380 alumnos/as de la Educación Inicial y Educación Escolar Básica del 1° y 2°, matriculados en el año 2016, según datos del MEC del año 2016</t>
  </si>
  <si>
    <t>Reparación de 6 aulas en centros educativos, según Planificación Municipal 2016</t>
  </si>
  <si>
    <t>Cocina</t>
  </si>
  <si>
    <t>Adquisición de 1.463 mesas y pupitres para Instituciones Educativas del Distrito, según Planificación Municipal 2016</t>
  </si>
  <si>
    <t>07.11. Fram</t>
  </si>
  <si>
    <t xml:space="preserve"> Reparaciones Mayores  de 7 Aulas en difrentes escuelas planificado  en el año  2016,</t>
  </si>
  <si>
    <t xml:space="preserve"> Construcción de  dos (2) Aulas en difrentes escuelas planificado  en el año </t>
  </si>
  <si>
    <t>2 Ampliación de parque infantil con remodelación de la Escuela Carlos Antonio López N° 271, planificada para el ano 2016</t>
  </si>
  <si>
    <t>1 Construcción de cercado perimetral  de la Escuela Carlos Antonio López N° 271, planificada para el ano 2016</t>
  </si>
  <si>
    <t>1 Obra para Remodelacion  de Edificio y Construcción de Sanitario sexados del Centro de Salud Local  en el año  de Construcción planificados para el año 2016</t>
  </si>
  <si>
    <t>1 Construcción de  Sanitarios sexados   en la Plaza  Municipal  cerca del Palco Vicetntenario   planificado año 2016/1</t>
  </si>
  <si>
    <t>1 Construcción de Vestuarios, baños y Graderias  en el Estado Municipal planificados para el año 2016</t>
  </si>
  <si>
    <t>Adquisicion de seiscientos (600) Sillas con Pupitres para alumnos y profesores, programados para el año 2016</t>
  </si>
  <si>
    <t>07.12. General Artigas</t>
  </si>
  <si>
    <t>3 Construcción de aulas  aulas Programadas  en el Presupuesto Municipal para el año 2016, según Microplanificación</t>
  </si>
  <si>
    <t>1 Construcción de Cercado Perimetral de las Escuelas Básicas del Distrito de General Artigas, planificadas para el año 2016</t>
  </si>
  <si>
    <t>4 Construcción de Baños  / 4 Baños Diferenciados de las Escuelas Básicas del Distrito de General Artigas, planificadas para el año 2016</t>
  </si>
  <si>
    <t>1 Construcción de Puente Hormigon Armado tipo Celular, programado año 2016, del 20% que corresponde a inversión pública</t>
  </si>
  <si>
    <t>2 Obras de Refacción y Restauración de pared y aberturas del Centro de Salud de General Artigas, correspondiente al 20 % de Inversión pública</t>
  </si>
  <si>
    <t>12 Refacción de  varias escuelas,  Planificados en el Presupuesto Año 2016</t>
  </si>
  <si>
    <t>3000 m2 de Construcción de  Empedrado a ser construido programados y planificados año 2016,  correspondiente al 20 % Inversión Pública</t>
  </si>
  <si>
    <t>12 Equipos de Oficina a ser adquiridas, del 20% Inversión Pública planificada año 2016  de computadores con impresoras.</t>
  </si>
  <si>
    <t>2 Aulas nuevas a ser construidas, en centros educativos, según Planificación Municipal 2016</t>
  </si>
  <si>
    <t>4 aulas a ser remodeladas, refaccionadas y ampliadas en centros educativos, según Planificación Municipal 2016</t>
  </si>
  <si>
    <t>5 sanitarios sexados nuevas construidas, en centros educativos, según Planificación Municipal 2016</t>
  </si>
  <si>
    <t>2 cocinas nuevas a ser construidas, en centros educativos, según Planificación Municipal 2016</t>
  </si>
  <si>
    <t>Mejoras en 8 plazas; Iluminación, camineros, cercado perimetral, cancha de futbol y de voley, según Planificación Municipal 2016</t>
  </si>
  <si>
    <t>2.400 m2 de empedrados a ser construidas, según Planificación Municipal 2016</t>
  </si>
  <si>
    <t>07.14. Hohenau</t>
  </si>
  <si>
    <t>848</t>
  </si>
  <si>
    <t>58.828 raciones de  almuerzos escolares para 764 alumnos, provisión para 77 días, 5 días a la semana., según planificación Municipal</t>
  </si>
  <si>
    <t>Adquisición de 13 equipos Informaticos, según Presupuesto 2016</t>
  </si>
  <si>
    <t xml:space="preserve">2 Construcción de  bloque de  aulas  Esc. Básica Cerro Corá Nº 4449, según planificación Municipal </t>
  </si>
  <si>
    <t xml:space="preserve"> 1  Comedor a ser construido en la escuela Fulgencio Yegros a ser construidas según planificación Municipal </t>
  </si>
  <si>
    <t xml:space="preserve">2 Refacción pabellones, iluminación, cercado y muralla en Colegio Raul Peña, refacción  y laboratorio en Colegio Santa María y  Esc.Cerro Corá , según planificación Municipal - </t>
  </si>
  <si>
    <t>4  Estudios de proyecto de inversion de obras en Colegio Raúl Peña ,  Colegio Santa María y  según planificación Municipal. y Salón  Auditorio para Supervición Zona 5 Nivel 4, Proyectos a ser realizados.</t>
  </si>
  <si>
    <t xml:space="preserve">4 Deudas Contraídas en Ejercicios Anteriores Por Obras Municipales se Presupuesto, según planificación municipal </t>
  </si>
  <si>
    <t>07.15. Jesús</t>
  </si>
  <si>
    <t>Almuerzo</t>
  </si>
  <si>
    <t>07.16. José Leandro Oviedo</t>
  </si>
  <si>
    <t>565 Alumnos/as de la Educación Inicial y Educación Escolar Básica del 1° y 2°, matriculados en el año 2016, según datos del MEC del año 2016.</t>
  </si>
  <si>
    <t>Construcción de 8 nuevas Aulas,  en centros educativos, según Planificación Municipal 2016</t>
  </si>
  <si>
    <t>Construcción de 5 sanitarios en centros educativos, según Planificación Municipal 2016</t>
  </si>
  <si>
    <t xml:space="preserve"> 2 reparación de Cocina Comedor en centro educativo, según Planificación Municipal 2016</t>
  </si>
  <si>
    <t>40 kilómetros de perfilados de caminos a ser construidos, según Planificación Municipal 2016</t>
  </si>
  <si>
    <t>2 Cercado Perimetral en Instituciones Educativas de Escolar Básica, según Planificación Municipal 2016</t>
  </si>
  <si>
    <t>5 Adquisición de muebles y enseres para Instituciones Educaticas, según planificación Municipal 2016</t>
  </si>
  <si>
    <t>2 Deudas por construcción de Aulas y cocinas construidas en centros educativos, según Planificación Municipal 2016</t>
  </si>
  <si>
    <t>07.17. Obligado</t>
  </si>
  <si>
    <t>868 Alumnos de Educación Inicial, Educación Básica del 1° y 2° Matriculados en el año 2016, según datos del MEC del año 2016</t>
  </si>
  <si>
    <t>2 Construcción de Cocina y Comedor en las Instituciones Educativas según micropalinificación.</t>
  </si>
  <si>
    <t>1 Construcción de Techado de Patio de Formación, pista atlética, cercado perimetral, en Instituciones Educativas, según microplanificación</t>
  </si>
  <si>
    <t>1 Construcción de Sala de Profesores - Dirección en Istituciones Educativas según microplanificación</t>
  </si>
  <si>
    <t>1 Construcción de Salón multiuso en Instituciones Educativas, según microplanificación</t>
  </si>
  <si>
    <t>1 Construcción de Bibliotecas en Enstituciones Educativas  según microplanificación.</t>
  </si>
  <si>
    <t>1 Remodelación, refacción y ampliación de salones en Instituciones Educativas según microplanificación</t>
  </si>
  <si>
    <t>Construcción de 5 Sanitarios nuevos a ser construídos en los Centros Educativos según microplanificación</t>
  </si>
  <si>
    <t>11 Remodelación, refacción y ampliación de aulas en Instituciones Educativas según microplanificación</t>
  </si>
  <si>
    <t>Construcción de 9 aulas a ser Construídas en Centros Educativos según microplanificación</t>
  </si>
  <si>
    <t>1 Pago de Deuda por Construcción de Aula en el año 2015, según planificación municipal 2016</t>
  </si>
  <si>
    <t>15.400 m2 de Construcción de Pavimento tipo Empedrado para acceso a las Escuelas planificados para el año 2016</t>
  </si>
  <si>
    <t>Adquisición de 238 sillas para Centros Educativos, según microplanificación</t>
  </si>
  <si>
    <t xml:space="preserve">Sillas   </t>
  </si>
  <si>
    <t>Adquisición de 170 Mesas Pupitres para Centros Educativos según microplanificación</t>
  </si>
  <si>
    <t>Provisión de Almuerzo natural a 608 alumnos/as de la Educación Inicial y Educación Escolar Básica del 1° y 2° ciclo, matriculados en el año 2016, según datos de la microplanificación del MEC del año 2016</t>
  </si>
  <si>
    <t>Construcción de 17 Aulas  todas Standar del MEC, según planificación 2015/ 2016</t>
  </si>
  <si>
    <t>Construcción de 10 baños grandes todas standr del MEC,  según planificación 2015 Y 2016</t>
  </si>
  <si>
    <t>3 Construcción de aulas para  centros educativos, según Planificación Municipal 2016</t>
  </si>
  <si>
    <t>8 Construcción de Sanitarios sexados para Escuelas, según Planificación Municipal 2016</t>
  </si>
  <si>
    <t>2 Construcción de cocina-comedor  para centros educativos, según Planificación Municipal 2016</t>
  </si>
  <si>
    <t>20 Compras, de Notebooks para Escuelas,  según Planificación Municipal 2016</t>
  </si>
  <si>
    <t>6 Compras, de Notebooks para Escuelas,  según Planificación Municipal 2016</t>
  </si>
  <si>
    <t>1 Pago por fondo de Reparo , Deudas por Construcción y reparación de aulas en centros educativos, según Planificación Municipal 2016</t>
  </si>
  <si>
    <t>07.20. San Pedro del Paraná</t>
  </si>
  <si>
    <t>800 alumnos de la Educación Inicial y Educación Escolar Básica del 1° y 2° matriculados en el año 2016, según datos del MEC del año 2016</t>
  </si>
  <si>
    <t>10 aulas a ser nuevas construidas en centros educativos, según Planificación Municipal 2016</t>
  </si>
  <si>
    <t>10 aulas  a ser reparadas en centros educativos, según Planificación Municipal 2016</t>
  </si>
  <si>
    <t>Construcción de 6 sanitarios en centros educativos, según Planificación Municipal 2016</t>
  </si>
  <si>
    <t>Construcción de 9 Comedor en centros educativos, según Planificación Municipal 2016</t>
  </si>
  <si>
    <t>7.158 Metros cuadrados de Pavimento Pétreo tipo empedrados  a ser construidos, según Planificación Municipal 2016</t>
  </si>
  <si>
    <t>6 deudas a ser pagadas por aulas construidas en centros educativos, según Planificación Municipal 2016</t>
  </si>
  <si>
    <t>07.21. San Rafael del Paraná</t>
  </si>
  <si>
    <t>659 alumnos/as de la Educación Inicial y Educación Escolar Básica del 1° y 2°, matriculados en el año 2016, según datos del MEC del año 2016.</t>
  </si>
  <si>
    <t xml:space="preserve">Construcción de (1) Biblioteca Colegio Nacional Tajy Poty, según planificación </t>
  </si>
  <si>
    <t xml:space="preserve">Construcción de (1) Comedor en la Escuela Makutinga, según planificación </t>
  </si>
  <si>
    <t xml:space="preserve">Construcción de (1) Aulas en las Escuelas Jose Asuncion Flores, (1)  Aulas en las Escuelas San Luis Gonzaga (1) Aula Colegio Nacional San Rafael km.12 (2) Aula Tipo Pre Escolar Escuela Virgen de Fatima de Aurora , según planificación </t>
  </si>
  <si>
    <t xml:space="preserve">Construcción de (1) Aula Tipo Pre Escolar en la Escuela Bº San Rafael, según planificación </t>
  </si>
  <si>
    <t xml:space="preserve">Adecuacion de 1 Aulas con  en la Escuela Acosta ñu, según planificación </t>
  </si>
  <si>
    <t xml:space="preserve"> Reparación  de Sanitarios (1)   Escuela San Blas, planificadas para reparación y remodelación en el año  2016</t>
  </si>
  <si>
    <t>Reparación de Aula (3) en Escuela Fulgencio Yegro, (3) Escuela San Jose ,(7) Escuela Virgen de Fatima Aurora, (3) Escuela Vicente Ignacio Iturbe según planificación 2016</t>
  </si>
  <si>
    <t>Construcción de 127 m2 de Empedrado en la calle de la Escuela Fernando de la Mora, km.10 en el año 2016</t>
  </si>
  <si>
    <t>07.22. Trinidad</t>
  </si>
  <si>
    <t>290 alumnos beneficiados de educación inicial y escolar básica 1o y 2o ciclos matriculados, planificado para el Año 2016</t>
  </si>
  <si>
    <t>Construcción de 4.000 Metros de Empedrado, planificados para el año 2016</t>
  </si>
  <si>
    <t>4 Obras a realizar: Cercado Perimetral en 4 Escuelas, planificado para el año 2016</t>
  </si>
  <si>
    <t>4 Obras a realizar: Reparación y pintura en 4 Escuelas, planificado para el año 2016</t>
  </si>
  <si>
    <t>1 Obra a realizar: Construcción de Cancha de Futbol y Educación Física, planificada para el año 2016</t>
  </si>
  <si>
    <t>07.23. Edelira</t>
  </si>
  <si>
    <t>521</t>
  </si>
  <si>
    <t>530</t>
  </si>
  <si>
    <t>10</t>
  </si>
  <si>
    <t>2606.- Alumnos de Educacion Inicial, Educacion Basica del 1er. Y 2do. Matriculados en el año 2015, según datos del MEC del año 2015</t>
  </si>
  <si>
    <t>17</t>
  </si>
  <si>
    <t>12</t>
  </si>
  <si>
    <t>550 muebles planificados según Presupuesto año 2016</t>
  </si>
  <si>
    <t>550</t>
  </si>
  <si>
    <t>07.24. Tomás Romero Pereira</t>
  </si>
  <si>
    <t>23 aulas planificadas para construir en el año 2016</t>
  </si>
  <si>
    <t>Reparación de 38 aulas en centros educativos, según planificación municipal 2016</t>
  </si>
  <si>
    <t>1 Obras realizada (Sala para dirección en el año 2016</t>
  </si>
  <si>
    <t xml:space="preserve">Reparación de 10 sanitarios en centros educativos, según planificación municipal </t>
  </si>
  <si>
    <t>1 Construcción de Empedrado camino a la escuela Básica Nº8083 Ciudad Nueva con Fondos del Fonacide en el año 2016</t>
  </si>
  <si>
    <t xml:space="preserve">Adquisición de 1.060 Sillas con Mesas para escuelas y colegios, según planificación municipal </t>
  </si>
  <si>
    <t>1.248 alumnos/as de la Educación Inicial y Educación Escolar Básica del 1° y 2°, matriculados en el año 2016, según datos del MEC del año 2016.</t>
  </si>
  <si>
    <t>11 Aulas a ser construidas en centros educativos, según Planificación Municipal 2016</t>
  </si>
  <si>
    <t>1 Construcción para la Escuela de Danza Municipal, según Planificación municipal 2016</t>
  </si>
  <si>
    <t>80 Km. de Pavimento Petreo Tipo Enripiado, según Planificación Municipal 2016</t>
  </si>
  <si>
    <t>4 Deuda a ser pagada por Construcción de Obras, según Planificación Municipal 2016</t>
  </si>
  <si>
    <t>07.26.  La Paz</t>
  </si>
  <si>
    <t>Remodelación, refacción y ampliación de 16 aulas, según planificación municipal 2016</t>
  </si>
  <si>
    <t>1 Estacionamiento y veredas a construir en centros educativos, según Planificación Municipal 2016</t>
  </si>
  <si>
    <t>26 Km de caminos a mejorar, según planficación municipal 2016</t>
  </si>
  <si>
    <t>Adquisición de 35 equipos informáticos a entregar en centros educativos, según planificación municipal 2016</t>
  </si>
  <si>
    <t>07.27. Yatytay</t>
  </si>
  <si>
    <t>15 Reparacion de Aulas en Escuelas y Colegios, Nacional Yatytay, Bonanza, Esc. Gral. Elizardo Aquino, para el ejercicio 2016</t>
  </si>
  <si>
    <t>07.28. San Juan del Paraná</t>
  </si>
  <si>
    <t>1 Tinglado Programadas según presupuesto Municipal para el año 2016, según Microplanificación</t>
  </si>
  <si>
    <t>01 Reparacion de Direccion, Secretaria Y aulas  Programadas según presupuesto Municipal para el año 2016, según Microplanificación</t>
  </si>
  <si>
    <t xml:space="preserve">1 obra de Refacción de techo cocina comedor y sanitario  Programados en el Presupuesto 2016 según Microplanificación                                             </t>
  </si>
  <si>
    <t>01 Ampliacion de Tinglado Programadas según presupuesto Municipal para el año 2016, según Microplanificación</t>
  </si>
  <si>
    <t xml:space="preserve"> 2 Santiarios Programadas según Presupuesto 2016 según Microplanificación</t>
  </si>
  <si>
    <t xml:space="preserve"> 1 Refaccion de techo , iluminacion y pisoProgramados en el Presupuesto 2016 según Microplanificación </t>
  </si>
  <si>
    <t>1 Construcción  de empedrado Calle Sargento Benítez Planificados según presupuesto 2.016</t>
  </si>
  <si>
    <t>1 Cercado perimetral Programados en el Presupuesto 2016 según Microplanificación</t>
  </si>
  <si>
    <t>1 Construcción  de empedrado Avda. Fulgencio Yegros Planificados según presupuesto 2.016</t>
  </si>
  <si>
    <t>1 Construcción de tanque de Hº Aº capacidad de 50.000 Lts en el Distrito de San Juan del Paraná Planificados segun presupuesto 2016</t>
  </si>
  <si>
    <t>Construcción de 1 obra de ampliación del puesto de Salud del distrito de san juan del paraná planificados según presupuesto 2016</t>
  </si>
  <si>
    <t xml:space="preserve"> 1 obra de reparación de techo de Comisaria nº 33 Distrito de San Juan del Paraná Planificados segun  prespuesto 2.016</t>
  </si>
  <si>
    <t xml:space="preserve"> 8 pizarrones Muebles Planificados según Presupuesto año 2016</t>
  </si>
  <si>
    <t>2 pizarrones Muebles Planificados según Presupuesto año 2016</t>
  </si>
  <si>
    <t>407 pupitres, 13 escritorios, 28 armarios Muebles Planificados según Presupuesto año 2016</t>
  </si>
  <si>
    <t>717 alumnos/as de la Educación Inicial y Educación Escolar Básica del 1° y 2°, matriculados en el año 2014, según datos del MEC del año 2015.</t>
  </si>
  <si>
    <t>01 Construcción de Aula Tipo Pre-Escolar en una institución educativa programados para el año 2016</t>
  </si>
  <si>
    <t>01 Construcción de cocina-comedor para una institución educativa programados para el año 2016.</t>
  </si>
  <si>
    <t>06 Construcción de aulas para las distintas instituciones educativas programados para el año 2016.</t>
  </si>
  <si>
    <t>06 Refacción  de sanitarios en las instituciones educativas programados para el año 2016.</t>
  </si>
  <si>
    <t>01 Construcción de techo para la pista deportiva en una institución educativa programados para el año 2016.</t>
  </si>
  <si>
    <t>01 Refacción General de una institución educativa programados para el año 2016.</t>
  </si>
  <si>
    <t>04 Refacción de las instituciones educativas programados para el año 2016.</t>
  </si>
  <si>
    <t>590 Adquisicion de Pupitre individual para alumno de 2°, 3° Ciclo y de la Media para las instituciones educativas  programados para el año 2016</t>
  </si>
  <si>
    <t>01 Adquisición de Juegos de Parque Infantil en Instituciones de Educación Inicial dentro del Distrito de Pirapó programados para el año 2016.</t>
  </si>
  <si>
    <t xml:space="preserve"> 01 Adquisición de Proyector para uso en la institución educativa planificados para el año 2016</t>
  </si>
  <si>
    <t>Proyector</t>
  </si>
  <si>
    <t>12 Adquisicion de Pizarron para las distintas instituciones educativas planificados para el año 2016</t>
  </si>
  <si>
    <t>Pizarron</t>
  </si>
  <si>
    <t xml:space="preserve"> 150 Adquisicion de Pupitre individual para alumno de 2°, 3° Ciclo y de la Media para las instituciones educativas  programados para el año 2016</t>
  </si>
  <si>
    <t>690 Compras de Sillas planificadas a entregar en el año 2016 a ser entregados a Alumnos y Docentes</t>
  </si>
  <si>
    <t>10  Armarios para escuelas del municipio con necesidad de equipamiento, según planificación  para el año 2016.</t>
  </si>
  <si>
    <t xml:space="preserve"> 10 Adquisicion de escritorio para las escuelas del municipio con necesidad de equipamiento para el año 2016</t>
  </si>
  <si>
    <t>2 Deudas Pendientes de Pago Correspondiente a Obras del Ejercicio Anterior planificados en el 2015.</t>
  </si>
  <si>
    <t>07.30. Itapúa Poty</t>
  </si>
  <si>
    <t>11. Central</t>
  </si>
  <si>
    <t>11.01. Areguá</t>
  </si>
  <si>
    <t>2 deudas a pagar por Obras (Construcción de Aula Col. Jose Felix Estigarribia, una certficacion y fondo de reparo)  correspondiente al Ejercicio 2015</t>
  </si>
  <si>
    <t>611 Alumnos que recibiran almuerzo escolar, planificados para el año 2016</t>
  </si>
  <si>
    <t xml:space="preserve">1 Aula Construida, proyectado según microplanificación del MEC </t>
  </si>
  <si>
    <t xml:space="preserve">1 SSHH Construido, proyectado según microplanificación del MEC </t>
  </si>
  <si>
    <t>6.250 m2 de empedrados previstos, según Planificación Municipal 2016</t>
  </si>
  <si>
    <t>12 Reparaciones de Instituciones Educativas en estado de urgencia, según verificaciones realizadas en el año 2016</t>
  </si>
  <si>
    <t>57 equipos informaticos para Entidades Educativas proyectadas en el año 2016</t>
  </si>
  <si>
    <t>11.02. Capiatá</t>
  </si>
  <si>
    <t>1.550 (un mil quinientos cincuenta) alumnos/as de la Educación Inicial y Educación Escolar Básica del 1° y 2°, matriculados en el año 2014, según datos del MEC del año 2016.</t>
  </si>
  <si>
    <t>55 (cincuenta y cinco) aulas a ser construidas en centros educativos del Municipio, según Planificación Municipal 2016</t>
  </si>
  <si>
    <t>10 (diez) baños a ser construidos en centros educativos, según Planificación Municipal 2016</t>
  </si>
  <si>
    <t>50 (cincuenta) unidades de equipos educativos y recreacionales a ser entregadas en centros educativos, según Planificación Municipal 2016</t>
  </si>
  <si>
    <t>3.350 (tres mil trescientos cincuenta) unidades de Sillas con mesas individuales a ser entregadas en centros educativos, según Planificación Municipal 2016</t>
  </si>
  <si>
    <t>11.03. Fernando de la Mora</t>
  </si>
  <si>
    <t>2500 Alumnos de la Educación Básica que recibiran almuerzo escolar, según planificación  Municipal.</t>
  </si>
  <si>
    <t>1 Deudas Pendientes de Pago correspondiente a años anteriores según planificación  Municipal.</t>
  </si>
  <si>
    <t>4500 M2  de Reparacion Integral de Depresiones, quiebres y Hundimientos de capas asfalticas de calles y derramaciones de linea vial en gral. planificados para el 2016</t>
  </si>
  <si>
    <t>10 Reparaciones y Construcciones  de varias escuelas de la ciudad según Microplanificacion aprobada po el MEC y según planificacion Municipal</t>
  </si>
  <si>
    <t>33 computadoras  Computadoras para Instituciones educativas de la ciudad   Adquisicion de equipos, según planificacion Municipal planificados para el 2016</t>
  </si>
  <si>
    <t>4009 Adquisicion de Mobiliarios;  sillas, escritorios,  armarios, pizarras,  estantes, mesas, para instituciones educativas  de la cidad según planificación Municipal</t>
  </si>
  <si>
    <t>11.04. Guarambaré</t>
  </si>
  <si>
    <t>Almuerzo Escolar para 418 alumnos de las Escuelas Básica Nro. 6876, Escuela Básica 4661  Basilio Mancuelloo y Escuela Santiago Picagua  Nro. 7065</t>
  </si>
  <si>
    <t>Deuda pendiente del almuerzo escolar distribuido en el ejercicio 2015</t>
  </si>
  <si>
    <t>3 ( tres ) reparacion de sanitarios sexados para instituciones oficiales del estado asentadas en el distrito de Guarambaré , Escuela San Miguel, 14 de Julio, Tesapea´ara</t>
  </si>
  <si>
    <t>1   SS HH  nuevo a ser anexado a alua existente para Nivel Inicial,en la Escuela Guarambare</t>
  </si>
  <si>
    <t>8 (ocho ) reparacion de aulas  en instituciones oficiales asentadas en el distrito de Guarambaré, Medalla Milagrosa, Alfeo Zanotti, Tesapera´ara, Escuela Especial.</t>
  </si>
  <si>
    <t>1 ( un ) Cercado perimetral previsto para el año en la Escuela Nro. 6876 Municipal</t>
  </si>
  <si>
    <t>2700 m2 de Construccion de empedrado en la Calle Basilio Mancuello</t>
  </si>
  <si>
    <t>1 Obra de iluminacion del acceso a la Escuela Basilio Mancuello para el ejercicio 2016</t>
  </si>
  <si>
    <t>Adquisición de 50 pupitres para escuelas publicas</t>
  </si>
  <si>
    <t>Adquisición de 250 sillas para escuelas publicas</t>
  </si>
  <si>
    <t>2 Deuda pendiente de gastos de capital de administracion anterior de/ 2 Obligaciones pendientes</t>
  </si>
  <si>
    <t>11.05. Itá</t>
  </si>
  <si>
    <t>28000 raciones de complemento nutricional en las escuelas públicas/ a ser distribuidas en 1305 alumnos: de las Escuelas Divino Niño Jesús y Prof. Aurelia Torres</t>
  </si>
  <si>
    <t>15 construción de aulas nuevas en instituciones educativas conforme microplanificación prevista durante el año 2016</t>
  </si>
  <si>
    <t>10 Obras para equipamiento con parques infantiles en plazas del distrito planificados durante el año 2016</t>
  </si>
  <si>
    <t>Construcción de 6 (seis) un SS. HH. Sexado en instituciones educativas de la ciudad de Itá</t>
  </si>
  <si>
    <t>5 Reparaciones de Sanitarios en escuelas y colegios de la Ciudad de Itá a ser realizados, según planificación municipal</t>
  </si>
  <si>
    <t>6250 m2 de pavimento tipo empedrado planificado para el año 2016</t>
  </si>
  <si>
    <t>1 obra de perforación de pozo artesiano con instalación de electrobomba en la Laguna municipal prevista para el año 2016</t>
  </si>
  <si>
    <t>1250 sillas pedagógicas a ser adquiridas conforme microplanificación para instituciones educativas que beneficiarán a 3000 alumnos</t>
  </si>
  <si>
    <t>35 elaboración de proyectos de obras y fiscalizaiones de las mismas, ejecutadas con fonacide: 15 aulas, 9 SS.HH. Y 11 otras inversiones de capital</t>
  </si>
  <si>
    <t>1 deuda por provisión de almuerzo de almuerzo escolar cuyo pago se halla previsto en el año 2016</t>
  </si>
  <si>
    <t>1.429 (un mil cuatrocientos veintinueve) alumnos/as de la Educación Inicial y Educación Escolar Básica del 1° y 2°, matriculados en el año 2016, según datos del MEC del año 2016.</t>
  </si>
  <si>
    <t>973 (novecientos setenta y tres) Servicios diarios en Cocinas comedores con servicio de elaboración de almuerzo escolar para alumnos/as de Escuelas Básicas del Ciclo Inicial, 1er y 2º ciclos, a entregar,  según Microplanificación de la Oferta Educativa 2016</t>
  </si>
  <si>
    <t>16 (diez y seis)  aulas a construir en centros educativos del Municipio, según Microplanificación de la Oferta Educativa  2016</t>
  </si>
  <si>
    <t xml:space="preserve">10 Aulas a ser refaccionadas en centros educativos, según Planificación Municipal 2016
</t>
  </si>
  <si>
    <t>2 (dos) Sanitarios a construir en centros educativos, según Planificación Municipal 2016</t>
  </si>
  <si>
    <t>1 (una) cocina-comedor a construir en centro educativo, según Planificación Municipal 2016</t>
  </si>
  <si>
    <t>3.854 (tres mil ochocientos cincuenta y cuatro) metros cuadrados de Pavimento Pétreo tipo empedrados a construir para acceso a Centros Educativos del Municipio, según Planificación Municipal 2016</t>
  </si>
  <si>
    <t>1.400 (un mil cuatrocientos) unidades de Pupitres a entregar  en centros educativos, según Microplanificación de la Oferta Educativa 2016</t>
  </si>
  <si>
    <t>11.07. Lambaré</t>
  </si>
  <si>
    <t>826 alumnos/as de la Educación Inicial y Educación Escolar Básica del 1° y 2° ciclo, matriculados en el 2016 que reciben almuerzo escolar.</t>
  </si>
  <si>
    <t>130.000 raciones para 826 alumnos/as de la Educación Inicial y Educación Escolar Básica del 1° y 2° ciclo, según Presupuesto Municipal del año 2016</t>
  </si>
  <si>
    <t>5 Deudas contraídas en ejercicios anteriores según Obligaciones Pendientes de Pago año 2015</t>
  </si>
  <si>
    <t>20 aulas a construir en centros educativos, según Planificación Municipal 2016</t>
  </si>
  <si>
    <t>10 sanitarios a construir en centros educativos, según Planificación Municipal 2016</t>
  </si>
  <si>
    <t>50 Aulas a refaccionar en centros educativos, según Planificación Municipal 2016</t>
  </si>
  <si>
    <t>2500 Compra de pupitres y sillas, según Planificación Municipal 2016</t>
  </si>
  <si>
    <t>100 Compra de armarios, según Planificación Municipal 2016</t>
  </si>
  <si>
    <t>100 Compra de escritorios para profesora, según Planificación Municipal 2016</t>
  </si>
  <si>
    <t>100 Compra de escritorios para computadora, según Planificaci{on Municipal 2016</t>
  </si>
  <si>
    <t>100 Compra de Computadoras con Impresoras, según Planificación Municipal 2016</t>
  </si>
  <si>
    <t>11.08. Limpio</t>
  </si>
  <si>
    <t xml:space="preserve">Almuerzo escolar </t>
  </si>
  <si>
    <t>1304 Alumnos que reciben  de almuerzo Escolar, Plato principal, ensalada, postre, según Presupuesto Municipal</t>
  </si>
  <si>
    <t xml:space="preserve"> 15 Obras para  Reparaciones  de escuelas, según microplanificación del MEC y Presupuesto Municipal 2016</t>
  </si>
  <si>
    <t xml:space="preserve">11 aulas a construir según Microplanificación  del MEC, según Presupuesto Municipal 2016 </t>
  </si>
  <si>
    <t>1 Construcicón de Una Escuela, Según Microplanificación del MEC, según presupuesto Municipal</t>
  </si>
  <si>
    <t>2 Sanitarios a Construir, según microplanificación del MEC y Presupuesto Municipal 2016</t>
  </si>
  <si>
    <t>1500 m2 de reparacion y bacheos de varias calles de la ciudad de Limpioy Presupuesto Municipal 2016</t>
  </si>
  <si>
    <t>1715 Alumnos de la Educación Inicial y Educación Escolar Básica que recibieron almuerzo escolar según la Planificación Municipal</t>
  </si>
  <si>
    <t xml:space="preserve"> 1 Deudas por Obligaciones pendientes de pago correspondientes a ejercicios anteriores por Almuerzo Escolar, según planificació </t>
  </si>
  <si>
    <t>25 aulas planificadas para construir  en el año 2016, erogaciones de los certificados de las aula que están siendo construidas</t>
  </si>
  <si>
    <t>7 sanitarios planificados para construir en el año 2016</t>
  </si>
  <si>
    <t>26 remodelaciones, refacciones y ampliaciones de aulas, sanitarios y comedores, según Planificación Municipal 2016</t>
  </si>
  <si>
    <t xml:space="preserve">  Accesos a Escuelas cercanas, apoyados con Programa de Fonacide, 19548,89 m2 según planificación año 2016</t>
  </si>
  <si>
    <t>Equpamiento en las Instituciones Públicas</t>
  </si>
  <si>
    <t>10.666 muebles para escuelas del municipio, sillitas p/ preescolar, mesita, mesa pupitre, según planificación Municipal</t>
  </si>
  <si>
    <t>2 Deudas pendientes de pago por Construcción y reparación de Aulas y Accesos a escuelas</t>
  </si>
  <si>
    <t>11.10. Mariano Roque Alonso</t>
  </si>
  <si>
    <t>47500 alumnos/as de la Educación Inicial y Educación Escolar Básica del 1° y 2°, matriculados en el año 2016 a darle almuerzo, según Planificación Municipal año 2016</t>
  </si>
  <si>
    <t>10 (diez) aulas a ser construidas  en centros educativos, según Planificación Municipal 2016</t>
  </si>
  <si>
    <t>15 (quince) Aulas a ser refaccionadas en centros educativos, según Planificación Municipal 2016</t>
  </si>
  <si>
    <t>667 Sillas pedagogicas entregadas en centros educativos, según planificacion Municipal 2016</t>
  </si>
  <si>
    <t xml:space="preserve">60 Equipos de Informática ]( Computadoras)  se ser adquiridos, según planificaión municipal </t>
  </si>
  <si>
    <t>11.11. Nueva Italia</t>
  </si>
  <si>
    <t xml:space="preserve">Almuerzo Escolar para 1.800 Alumnos de diferentes instituciones escolares del distrito, según microplanificación </t>
  </si>
  <si>
    <t>1 Deuda a ser pagada por Almuerzo Escolar para Alunmos de diferentes instiruciones escolares del distrito del año anterior</t>
  </si>
  <si>
    <t>1 Reparación de sanitarios tipo MEC de 4.40*6.15 m en las Esc. Bas. Nº 470 San Antonio de Padua y Esc. Bas. Nº 474 República Italiana, según planificación municipal</t>
  </si>
  <si>
    <t>6 Construcciones a ser definidas para diferentes estamentos escolares de Nueva Italia, según planificación</t>
  </si>
  <si>
    <t>Adquisicion de 30 unidades de Computadoras para instituciones educativas de Nueva Italia, según planificación</t>
  </si>
  <si>
    <t>1 Deuda a ser pagada por Obras realizadas en el ejercicio 2015 certificadas en el 2016</t>
  </si>
  <si>
    <t>11.12. Ñemby</t>
  </si>
  <si>
    <t>870 alumnos de la Educacion Inicial mas 1ro y 2do ciclo de la escuela Basica Nº 6116 Unida La Conquista y la Escuela Bàsica Municipal Nª 6831 Lo Mìo Primero</t>
  </si>
  <si>
    <t xml:space="preserve">33 aulas nuevas a construir en el año 2016 </t>
  </si>
  <si>
    <t xml:space="preserve">11.13. San Antonio </t>
  </si>
  <si>
    <t>350 ( tresceintos cincuenta )  alumnos/as de la Educación Inicial y Educación Escolar Básica del 1° y 2°, matriculados en el año 2016, planificados para beneficiarlos mensualmente,  según datos del MEC del año 2016.</t>
  </si>
  <si>
    <t>11.14. San Lorenzo</t>
  </si>
  <si>
    <t>2.500 (Dos mil quinientos) Alumnos/as de la Educación Inicial y Educación Escolar Básica del 1° y 2°, matriculados en el año, según datos del MEC del año 2016.</t>
  </si>
  <si>
    <t>Construcción de 91 Aulas nuevas, Según planificación</t>
  </si>
  <si>
    <t>Construcción de 7 Sanitarios nuevas, según planificación</t>
  </si>
  <si>
    <t>50 Mejoramiento y Equipamiento  de las Plazas Municipales, según planificación</t>
  </si>
  <si>
    <t xml:space="preserve">1 Mejoramiento y Equipamiento de la Ciclovía Municipal, según planificación </t>
  </si>
  <si>
    <t>11.15. Villa Elisa</t>
  </si>
  <si>
    <t>792 (setecientos noventa y dos) alumnos/as de la Educación Inicial y Educación Escolar Básica del 1° y 2°, matriculados en el año 2016, a beneficiar mensualmente con el Programa, según datos del MEC del año 2016.</t>
  </si>
  <si>
    <t xml:space="preserve">8 (ocho) aulas a ser construidas en centros educativos, según Planificación Municipal 2016, coincidente con la Microplanificación remitida por la Supervisión, </t>
  </si>
  <si>
    <t>2 (dos) sanitarios a ser construidos en centros educativos, según Planificación Municipal 2016.</t>
  </si>
  <si>
    <t>11.16. Villeta</t>
  </si>
  <si>
    <t>895 alumnos/as de la Educación Inicial y Escolar Básica del 1° y 2° ciclo, matriculados en el año que reciben Almuerzo Escolar</t>
  </si>
  <si>
    <t>2 Obras, Recepción Final más Fondo de Reparo por Construcción de aula en la Escuela San Juan Bautista Compañía Ype Ka´e y Escuela Niño Salvador del Mundo Compañía Tacuaty del Ejercicio 2015, según planificación Municipal 2016</t>
  </si>
  <si>
    <t>10 Adquisición de aparatos audiovisuales-proyectores, según Planificación</t>
  </si>
  <si>
    <t>Adquisición de 200 unidades de sillas pedagógicas para alumnos, según planificación 2016</t>
  </si>
  <si>
    <t>Adquisición de 50 unidades de mesas-escritorios, según planificación 2016</t>
  </si>
  <si>
    <t xml:space="preserve">10 Adquisición de muebles (estante para biblioteca) para entidades educativas, según planificación Municipal </t>
  </si>
  <si>
    <t>Adquisición de 15 equipos informáticos para entidades educativas, según planificación 2016</t>
  </si>
  <si>
    <t>319 alumnos/as de la Educación Inicial y Educación Escolar Básica del 1° y 2°, matriculados en el año 2016, según datos del MEC del año 2016.</t>
  </si>
  <si>
    <t>6 aulas planificadas para construir en el año 2016, según planificación</t>
  </si>
  <si>
    <t>2 escuela con necesidad de reparación de baño del municipio en el año 2016 según planificación</t>
  </si>
  <si>
    <t>9 instituciones con necesidades de refacción, reparación, remodelación y ampliación de aulas en el año 2016, según planificación</t>
  </si>
  <si>
    <t>4.360 Metros cuadradors de Pavimento Pétreo Tipo Empedrado planificados para construir en el año 2016</t>
  </si>
  <si>
    <t xml:space="preserve">600 Metros cuadrados de caminero para ciclovia (1ra. Etapa), según planificación </t>
  </si>
  <si>
    <t>950 mts cuadrados de tinglados solictados por Instituciones Educativas, según planificación</t>
  </si>
  <si>
    <t>11.18. Ypane</t>
  </si>
  <si>
    <t>1,300 alumnos/as de la Educación Inicial y Educación Escolar Básica del 1° y 2 ciclo, matriculados en el año 2016 que recibirán Almuerzo Escolar</t>
  </si>
  <si>
    <t>7 de aulas  planificadas para construir en el año 2016 en escuelas públicas de acuerdo a la micriplanificación del MEC</t>
  </si>
  <si>
    <t>3 de sanitarios  planificadas para construir en el año 2016 en escuelas públicas de acuerdo a la micriplanificación del MEC</t>
  </si>
  <si>
    <t xml:space="preserve"> 5 reparaciones en instituciones educativas del municipio planificadas para el año 2016</t>
  </si>
  <si>
    <t xml:space="preserve"> 4 reparaciones de sanitarios en instituciones educativas del municipio planificadas para el año 2016</t>
  </si>
  <si>
    <t>19 elaboracion de proyectos de obras y reparaciones en instituciones educativas planificadas para el año 2016</t>
  </si>
  <si>
    <t>12 deudas pendientes por obras en escuelas, 1 servicio de fiscalizaciones y 1 obra de iluminacion planificadas para el año 2016</t>
  </si>
  <si>
    <t>Almuerzo Escolar para 909 alumnos/as de la Educación Inicial y Educación Escolar Básica del 1° y 2 ciclo, matriculados en el año  que reciben Almuerzo Escolar, en 3 Instituciones Educativas del Distrito</t>
  </si>
  <si>
    <t>Planificación de 10 de  aulas  para construir en el año</t>
  </si>
  <si>
    <t>Planificación de 1 muralla y portico  para construir en el año</t>
  </si>
  <si>
    <t>1 Mantenimientos y reparaciones  de aulas  Instituciones Educativas para realizar en el 2016</t>
  </si>
  <si>
    <t>Planificacion de 12000 m2 de Empedrado a ser construido en el 2016</t>
  </si>
  <si>
    <t>Mantenimientos y reparaciones  de   2  Sanitarios  en Instituciones Educativas para realizar en el 2016</t>
  </si>
  <si>
    <t>15. Presidente Hayes</t>
  </si>
  <si>
    <t>15.01. Benjamín Aceval</t>
  </si>
  <si>
    <t>150 alumnos de la Educación Inicial y Educación Escolar Básica del 1° y 2° que recibirán almuerzo escolar, según Presupuesto Municipal del año 2016</t>
  </si>
  <si>
    <t>Construcción de  3 aulas nuevas, según Planificación Municipal 2016</t>
  </si>
  <si>
    <t>3 Obras de Refacciones de Instituciones Educaticas (Cercado, Techo, tinglados), Segun planificacion Municipal</t>
  </si>
  <si>
    <t>Adquisicion de equipos de educacion</t>
  </si>
  <si>
    <t>1200 sillas pedagogicas a ser entregados a instituciones educativas, segun planificacion Municipal</t>
  </si>
  <si>
    <t xml:space="preserve"> 1 Deudas por almuerzo escolar a pagar, segun planificacion Municipal</t>
  </si>
  <si>
    <t>1 Deudas por la Construcción de aulas  y  baños, según Planificación Municipal 2016</t>
  </si>
  <si>
    <t>15.02. Puerto Pinasco</t>
  </si>
  <si>
    <t>152 alumnos de la Educación Inicial y Educación Escolar Básica del 1° y 2° que recibirán almuerzo escolar, según Presupuesto Municipal del año 2016</t>
  </si>
  <si>
    <t>Construcción de 2 aulas nuevas, según Planificación Municipal 2016</t>
  </si>
  <si>
    <t>Construcción de 1 comedor nuevo, según Planificación Municipal 2016</t>
  </si>
  <si>
    <t>270 mts2 de cementado sobre tierra a realizar según planificaciòn Municipal</t>
  </si>
  <si>
    <t>15.03. Villa Hayes</t>
  </si>
  <si>
    <t>Provision de Almuerzo Escolar para 1390 Alunmos de diferentes instituciones escolares del distrito</t>
  </si>
  <si>
    <t>7 Construcciones de Aulas  en diferentes estamentos escolares de Villa Hayes</t>
  </si>
  <si>
    <t>6 Reparaciones de Aulas  en diferentes estamentos escolares de Villa Hayes</t>
  </si>
  <si>
    <t>1 Construccion de Sanitarios Sexados en  Escuela Basica N° 5860 de Palma Sola de Villa Hayes</t>
  </si>
  <si>
    <t>2 Construcciones de Comedores en diferentes estamentos escolares de Villa Hayes</t>
  </si>
  <si>
    <t>15.04. Nanawa</t>
  </si>
  <si>
    <t>Adquisición de 50.396 raciones de comidas de Almuerzo Escolar para 200 alumnos de las instituciones educativas de la Educación Inicial y Escolar Básica (1er. y 2do. ciclo) de las Escuelas del distrito de acuerdo a la microplanificación y autorización del Ministerio de Educación y Cultura.</t>
  </si>
  <si>
    <t>120 m2 de Construccion o Terminación de 2 aulas en la Esc. Bas. N° 4029 Santa Rosa de Lima planificadas para el año 2016</t>
  </si>
  <si>
    <t>73 m2 de Construccion de 1 aula  con techo de Hº Aº  en la Esc. Bas. Nº 3745 Virgen del Rosario, planificadas para el año 2016.</t>
  </si>
  <si>
    <t>158 m2 de Refacción de 11 aulas en la Escuela Basica Nº 247 Capitan de Navio Pedro Ignacio Meza planificadas para el año 2016</t>
  </si>
  <si>
    <t>90 m2 de Construccion de 1 aula en planta alta en el Colegio Nacional Cap. De Navio Pedro Ignacio Meza planificadas para el año 2016</t>
  </si>
  <si>
    <t>33 m2 de Reacondicionemiento de 1 baño sexado de cuerpo en la Escuela Bas. Nº 332 Silvestre Martinez según planificadas para el año 2016</t>
  </si>
  <si>
    <t>Construccion de 43 m2 de 1 Baño sexado en de cuerpo en la Esc. Bas. N° 4029 Santa Rosa de Lima para el ejercicio año 2016.-</t>
  </si>
  <si>
    <t>120 m2 Demoliciones y Construcción de 1 Cocina Comedor en la Esc. Bas. N° 4029 Santa Rosa de Lima planificadas para el año 2016</t>
  </si>
  <si>
    <t>Construcción de 400m3 de ripio, incluye relleno y compactación de camino que conduce a la Esc. Bas. N°3745 Virgen del Rosario 2016/m3 de ripido según planificacion Municipal</t>
  </si>
  <si>
    <t>43 m2 de Construcción de 1 Baño sexado en el   Colegio Nac. Capitan de Navio Pedro Ignacio Meza planificadas para el ejercico año 2016.</t>
  </si>
  <si>
    <t>Construccion de 1  Baño sexado de 4 casetas en  el Colegio Santa Teresita del Niño Jesús que cuenta con 2 sanitarios para niñas y 2 sanotarios para niños</t>
  </si>
  <si>
    <t>Construcción y reparaciones de 500 mts2 de calles del distrito en el Barrio Independiente</t>
  </si>
  <si>
    <t xml:space="preserve"> 50 m2 de Construcción de Muro de Contención,  en el barrio Independiente según planificación Municipal 2016</t>
  </si>
  <si>
    <t>43 m2 de Construcción de 1 baños sexados en la Esc. Bas Nº 3745 Virgen del Rosario, planificadas para el año 2016.</t>
  </si>
  <si>
    <t>34 m2 de Readecuación de Aula para 1 Comedor en Escuela Básica Nº 3745 Virgen del Rosario según planificadas para el año 2016.</t>
  </si>
  <si>
    <t>120 m2 de  Construccinón de 1  Bloque de Cocina en la Esc. Bas Nº 332 Silvestre Martínez según Planificadas para el año 2016</t>
  </si>
  <si>
    <t>43 m2 de Construcción de 1 Baño sexado de tres cuerpo en el Colegio Nacional Silvestre Martínez según Planificadas para el año 2016</t>
  </si>
  <si>
    <t>90 m2 de Construcción de 1 aula en el Colegio Nacional Silvestre Martinez según planificadas para el año 2016.</t>
  </si>
  <si>
    <t>105 m2 de Construcción de cercado Perimetral en la Escual Basica Nº 4029 Santa Rosa de Lima según planificacion año 2016</t>
  </si>
  <si>
    <t>Adquisición de 996 Unidades de Mobiliarios para escuelas según microplanificación del MEC para el ejercicio 2016</t>
  </si>
  <si>
    <t>15.05. José Falcón</t>
  </si>
  <si>
    <t>15.06.  Tte. 1° Manuel Irala Fernández</t>
  </si>
  <si>
    <t xml:space="preserve"> 780 de alumnos de la Educación Inicial y Educación Escolar Básica del 1° y 2° que recibirán almuerzo escolar, según Presupuesto Municipal del año 2016 de 11 escuelas</t>
  </si>
  <si>
    <t xml:space="preserve">4 Cuatros  aulas a construir; según planificación año 2016 </t>
  </si>
  <si>
    <t>1.000 Unidades silla de aula, 1.000  sillas para pres escolar, para Instituciones escolares , según planificación 2016</t>
  </si>
  <si>
    <t>15.07. Tte. Esteban Martínez</t>
  </si>
  <si>
    <t>300 alumnos de la educación Escolar Básica del 1° y 2° que recibirán almuerzo escolar, según Presupuesto Municipal del año 2016</t>
  </si>
  <si>
    <t>Construcción de 2 aulas nuevas en centros educativos, según Planificación Municipal 2016</t>
  </si>
  <si>
    <t>300 KM de Reparacion, perfilado y mantenimiento de Acceso a locales escolares  según Planificacion Municipal 2016</t>
  </si>
  <si>
    <t>2 Baños sexados para reparar en el año 2016</t>
  </si>
  <si>
    <t>Construcción de 1 tanque elevado, según Planificación Municipal 2016</t>
  </si>
  <si>
    <t xml:space="preserve"> 3 Construcciones de Baños a Realizar  según Planificacion Municipal 2016</t>
  </si>
  <si>
    <t>106 sillas sin pupitre, 95 mesa pupitre individual, 25 silla alumno pre-escolar, 25 mesa pupitre individual pre-escolar, 11 escritorio para profesor, 6 armario con puetas y 5 estantes para biblioteca  a ser realizado, según Planificacion Municipal 2016</t>
  </si>
  <si>
    <t>15.08. Gral. José María Bruguez</t>
  </si>
  <si>
    <t>Almuerzo Escolar para 140 alumnos de la Educación Inicial y Escolar Básica de las Escuelas 763 Gaspar R. de Francia y 5857 San Miguel Arcángel</t>
  </si>
  <si>
    <t xml:space="preserve">Reparacion de 3 aulas  Escuela Gaspar Rodríguez de Francia, según planificación municipal </t>
  </si>
  <si>
    <t>Construccion de 1 aulas nuevas para la Escuela Nro. 5856 Estero Guasu, planificadas para el presente ejercicio fiscal.</t>
  </si>
  <si>
    <t>Construccion de 1 aulas nuevas para la Escuela Nro. 5857 San Miguel Arcangel, planificadas para el presente ejercicio fiscal.</t>
  </si>
  <si>
    <t>Construccion de 1 Comedor para la Escuela Nro. 5857 San Miguel Arcangel, planificadas para el presente ejercicio fiscal.</t>
  </si>
  <si>
    <t>Construccion de 1 Comedor para la Escuela Nro. 5856 Estero Guasu, planificadas para el presente ejercicio fiscal.</t>
  </si>
  <si>
    <t>Construccion de 1 baño sexado,  en la Esc. Bas. 5857 San Miguel Arcangel. En el periodo 2016.</t>
  </si>
  <si>
    <t>Construccion de 1 baño sexado, Esc. Bas. 5856 Estero Guasu. En el periodo 2016.</t>
  </si>
  <si>
    <t>17. Alto Paraguay</t>
  </si>
  <si>
    <t>17.01. Fuerte Olimpo</t>
  </si>
  <si>
    <t>2340 m2 de reparacion y bacheos de calles de acceso a Instituciones educativas, según la planificacion Municipal año 2016</t>
  </si>
  <si>
    <t>6  Mantenimiento del Predio  de  Instituciones  Educativa de la ciudad, según planificacion año 2016</t>
  </si>
  <si>
    <t>17.02. Puerto Casado</t>
  </si>
  <si>
    <t>01 (una) Reconstruccion Total de la Escuela Bernardino Caballero y 2 (dos) reparaciones varias de la Escuela Basica 7031 Km 39 y Machete Vaina de la Ciudad de Puerto Casado, según Presupuesto Municipal 2016</t>
  </si>
  <si>
    <t>6 escritorios, 1 computadora y  1 impresora multifuncion a ser adquiridos, para la Escuela Basica N° 2894 Berbardino Caballero, según planificacion Municipal 2016</t>
  </si>
  <si>
    <t xml:space="preserve">  50 mesas individuales, 10 mesitas y 1 fotocopiadora  a ser adquiridas para la Escuela 97 Juan de Ayolas según planificaion municipal 2016</t>
  </si>
  <si>
    <t xml:space="preserve"> 2 armarios grandes y una mesa larga de reuniones a ser adquiridas  para la Escuela Basica 14708 Machete Vaina, Indigena según planificacion municipal 2016</t>
  </si>
  <si>
    <t xml:space="preserve">  3 mesas largas, 3 armarios, 6 escritorio y 40 pupitres a ser adquiridos para la Escuela  Castilla Indigena según planificacion municipal 2016</t>
  </si>
  <si>
    <t xml:space="preserve"> 40 sillitas a ser adquiridas para la Escuela Basica 297 Maria Auxiliadora según planificacion Municipal 2016</t>
  </si>
  <si>
    <t>17.03. Bahía Negra</t>
  </si>
  <si>
    <t>17.04. Carmelo Peralta</t>
  </si>
  <si>
    <t>80 alumnos/as de la Educación Inicial y Educación Escolar Básica del 1° y 2°, matriculados en el año 2015, según datos del MEC del año 2016.</t>
  </si>
  <si>
    <t>1 aulas a ser construídas en centros educativos, según Planificación Municipal 2016</t>
  </si>
  <si>
    <t>2 Tinglados  a ser construídas en centros educativos, según Planificación Municipal 2016</t>
  </si>
  <si>
    <t>1 Refaccion de Baño a ser construídas en centros educativos, según Planificación Municipal 2016</t>
  </si>
  <si>
    <t>02. San Pedro</t>
  </si>
  <si>
    <t>02.02. Puerto Antequera</t>
  </si>
  <si>
    <t>02.06. Lima</t>
  </si>
  <si>
    <t>02.01. San Pedro del Ycuamandyyú</t>
  </si>
  <si>
    <t>02.07. Nueva Germania</t>
  </si>
  <si>
    <t>02.San Pedro</t>
  </si>
  <si>
    <t>02.08. San Estanislao</t>
  </si>
  <si>
    <t xml:space="preserve"> 02. San Pedro</t>
  </si>
  <si>
    <t>02.11. Tacuati</t>
  </si>
  <si>
    <t>02.12. Unión</t>
  </si>
  <si>
    <t>02.13. 25 de Diciembre</t>
  </si>
  <si>
    <t xml:space="preserve">02.14. Villa del Rosario </t>
  </si>
  <si>
    <t xml:space="preserve">02. San Pedro </t>
  </si>
  <si>
    <t>02.16. Yataity del Norte</t>
  </si>
  <si>
    <t>02.17. Guajayvi</t>
  </si>
  <si>
    <t>02.19. Santa Rosa del Aguaray</t>
  </si>
  <si>
    <t xml:space="preserve">02.20. Liberación </t>
  </si>
  <si>
    <t>4.01 Villarrica</t>
  </si>
  <si>
    <t>Estructura Presupuestaria</t>
  </si>
  <si>
    <t>Ejecución Productiva</t>
  </si>
  <si>
    <t>Presupuesto Vigente</t>
  </si>
  <si>
    <t>Acumulado Anual</t>
  </si>
  <si>
    <t>00.01. Asunción</t>
  </si>
  <si>
    <t>0. Capital</t>
  </si>
  <si>
    <t>Provisión a 835 alumnos/as de la Educación Inicial y Educación Escolar Básica del 1° y 2°, con raciones del almuerzo escolar durante 05 meses, matriculados en el año 2016 y que se encuentran en la jurisdicción de Concepción.</t>
  </si>
  <si>
    <t>Proyectos en Infraestructura en Educación</t>
  </si>
  <si>
    <t>2 obras en Escuela Mcal. Estigarribia con servicio de fiscalización, según presupuesto municipal 2016. (1) Bloque compuesto de 3 aulas, salón audiovisual y sanitarios sexados. (2) Muralla perimetral, sistema de desague fluvial, relleno, compactación y nivelación de patio de la escuela.</t>
  </si>
  <si>
    <t>16 Aulas a ser remodeladas, refaccionadas y ampliadas en Instituciones educativas, según Planificación Municipal 2016</t>
  </si>
  <si>
    <t>1 Sanitario nuevo sexado a ser construida en centro educativo, según Planificación Municipal 2016</t>
  </si>
  <si>
    <t>Reparación de 5 sanitarios planificado para construir en la Escuelas según Microplanificación(reparación) en el año 2016.</t>
  </si>
  <si>
    <t>03. 12 Mbocayaty del Yhaguy</t>
  </si>
  <si>
    <t xml:space="preserve">2600 m2 Pavimento pétreo en el casco urbano de Emboscada, según planificación Municipal </t>
  </si>
  <si>
    <t>686 alumnos que recibiran almuerzo escolar de Alumnos 7.000 alumnos/as de la Educación Inicial y Educación Escolar Básica del 1° y 2° ciclos, matriculados, según datos del MEC</t>
  </si>
  <si>
    <t xml:space="preserve"> 1 Construccion de Cocina Comedor, según planificacion municipal</t>
  </si>
  <si>
    <t>Cocina - Comedores</t>
  </si>
  <si>
    <t xml:space="preserve">1 (UNA)  Reconstrucciones y Reparaciones  de escenario en la  Escuela Basica Jose Tursi, Según la Ejecución </t>
  </si>
  <si>
    <t>3 ( tres )  aulas construidas en centros educativos del Municipio, según Planificación Municipal 2016</t>
  </si>
  <si>
    <t>18 Km de Reparación de caminos planificada para  el año 2016</t>
  </si>
  <si>
    <t>18 Aulas a construir en Instituciones educativas, según Planificación Municipal 2016</t>
  </si>
  <si>
    <t>5.10. San José de los Arroyos</t>
  </si>
  <si>
    <t>03. 15.  1ro de Marzo</t>
  </si>
  <si>
    <t>2 Aulas nuevas a ser construidas en centros educativos, según Planificación Municipal 2016</t>
  </si>
  <si>
    <t xml:space="preserve">Mesas </t>
  </si>
  <si>
    <t>Mesas Pupitre</t>
  </si>
  <si>
    <t>Adq. de Maq. Equipos de Oficina y Computación</t>
  </si>
  <si>
    <t>01 Deudas a ser pagadas, según Planificación Municipal 2016</t>
  </si>
  <si>
    <t>1 Deudas por construción de aula obligadas según  planificacion 2015, contruidas  en el año 2016</t>
  </si>
  <si>
    <t>3 Deudas pendiente de pago correspondiente a ejercicio anterior, según planificación municipal 2016</t>
  </si>
  <si>
    <t>Sillas pupitres</t>
  </si>
  <si>
    <t xml:space="preserve"> 4 aulas planificada para construir en el año 2016</t>
  </si>
  <si>
    <t>312 Alumnos que contaran con almuerzo escolar en instituciones educativas que cuentan con doble escolaridad.</t>
  </si>
  <si>
    <t>1) Esc. Bás. N° 102 "Gral Bernardino Caballero"</t>
  </si>
  <si>
    <t>1) Esc. Bas. N° 433 Jose de la Esperanza Alvarez 2 )Esc. Bás. N° 102 "Gral Bernardino Caballero"</t>
  </si>
  <si>
    <t>1) Col. Nac. Bernardino Caballero,Esc.Bas. Nº 102 Gral. Bernardino  2) Esc. Bas. N° 433 Jose de la Esperanza Alvarez 3)Esc. Bás. N° 102 "Gral Bernardino Caballero"</t>
  </si>
  <si>
    <t>03. 13 Nueva Colombia</t>
  </si>
  <si>
    <t>2000 alumnos/as de la Educación Inicial y Educación Escolar Básica del 1º y 2º matriculados en el año 2016, según datos del MEC.</t>
  </si>
  <si>
    <t>Construcción de aulas según detalles en la microplanificación del MEC</t>
  </si>
  <si>
    <t>Adquisición de 20 computadoras para Instituciones Educativas</t>
  </si>
  <si>
    <t>4 aulas construídas, remodeladas, refaccionadas y ampliadas en centros educativos, según Planificación Municipal 2015</t>
  </si>
  <si>
    <t xml:space="preserve">4 cuatro baños refaccionados, reparados, remodelados en el año </t>
  </si>
  <si>
    <t>Adquisicion de cortina, mueble archivador, escrito tipo L, silla interlocutora, silla giratoria, mueble archivador, silla tipo banco triple, y escritorio estandar con cajones para  Centro de Salud Local, programados para el año 2016</t>
  </si>
  <si>
    <t>11 Deudas pagadas por construcción de aulas, sanitarios, reparaciones de techos y laboratrio en centros educativos, según Planificación Municipal 2016</t>
  </si>
  <si>
    <t>1.879 Alumnos a ser Beneficiados con provisión de Almuerzo Escolar, según planificación</t>
  </si>
  <si>
    <t>501 alumnos de la Educación Inicial y Educación Escolar Básica del 1° y 2° que recibirán Almuerzo Escolar, según Presupuesto Municipal del año 2016</t>
  </si>
  <si>
    <t>1100 de alumnos de la Educación Inicial y Educación Escolar Básica del 1° y 2° que recibirán Almuerzo Escolar, según Presupuesto Municipal del año 2016</t>
  </si>
  <si>
    <t>2,500 alumnos de la Educación Inicial y Educación Escolar Básica del 1° y 2° que recibirán Almuerzo Escolar, según Presupuesto Municipal del año 2016 de 14 escuelas</t>
  </si>
  <si>
    <t>380 alumnos de la Educación Inicial y Educación Escolar Básica del 1° y 2° que recibirán Almuerzo Escolar, según Presupuesto Municipal del año 2016</t>
  </si>
  <si>
    <t>400 alumnos de la escuela Inicial y Educacion Escolar Basica de 1 y 2 que reciben Almuerzo Escolar planificado</t>
  </si>
  <si>
    <t>Alumnos de la Educación Inicial y Educación Escolar Básica del 1° y 2° que recibirán Almuerzo Escolar, según Presupuesto Municipal del año 2016</t>
  </si>
  <si>
    <t>1 deudas a ser pagadas por provision de Almuerzo Escolar, según Planificación Municipal 2016</t>
  </si>
  <si>
    <t>30.000 Raciones de Almuerzo Escolar, planificado para el año 2016</t>
  </si>
  <si>
    <t>412 alumnos de la Educación Inicial y Educación Escolar Básica del 1° y 2° que reciben Almuerzo Escolar  planificados para el año 2016</t>
  </si>
  <si>
    <t>900 alumnos de la Educación Inicial y Educación Escolar Básica del 1° y 2° que recibirán Almuerzo Escolar, según presupuesto municipal del año 2016</t>
  </si>
  <si>
    <t>Construcción de 1 aula en la Escuela Carlos Antonio López N° 271, planificada para el ano 2016</t>
  </si>
  <si>
    <t>Proyectos de Infraestrutura en Educación</t>
  </si>
  <si>
    <t>1 Deuda pendiente a ser pagada, por Construcción de Aula, proyectado para el año 2016</t>
  </si>
  <si>
    <t>28 Construcciónes de Aulas en centros educativos, según planificación Municipal y con aprobación del MEC-2015</t>
  </si>
  <si>
    <t xml:space="preserve">1 Construcción de muralla en el Colegio Moises Bertoni, según planificación municipal </t>
  </si>
  <si>
    <t>6 Deudas pendiente de pago por Construcciónes de Obras, según Planificación Municipal 2016</t>
  </si>
  <si>
    <t>Construcción de 3.713 m2 de Empedrado, planificado para Construir en el año 2.016.-</t>
  </si>
  <si>
    <t>2 Pago de la Deuda de Capital del ejercicio anterior, Construcción de Cocina - Comedor y Empedrado, proyectados para el Año 2016</t>
  </si>
  <si>
    <t>2 pagos de deudas por Construcciónes de empedrado y canalizaciones, programadas año 2016</t>
  </si>
  <si>
    <t>Construcción de (1) SSHH Sanitarios en las  Escuelas San Pedro,Construcción de  (1) SSHH Florentin Oviedo Naranjito, Construcción de (1) SSHH Escuela Makutinga, Construcción de (1) SSHH Escuela Virgen Caacupe-Construcción de (1) SSHH Colegio Ape Aime-Construcción de (1) SSHH Escuela Virgen de Fatima de milagrosa, Construcción de (1) SSHH Escuela Fulgencio Yegros</t>
  </si>
  <si>
    <t>2 Obras a realizar: Construcción de Aulas en Escuelas, planificado para el año 2016</t>
  </si>
  <si>
    <t xml:space="preserve">17 Construcciónes de Aulas nuevas a construir según microplanificación y Presupuesto 2016 </t>
  </si>
  <si>
    <t>15 000 m2 de Construcción de Empedrados en Edelira km 33, Pirapey km 35, Ara Poty y Pirapey km 45</t>
  </si>
  <si>
    <t xml:space="preserve">Construcciónes de 10 Sanitarios nuevos, según planificación Municipal </t>
  </si>
  <si>
    <t>Construcción de 11.700 m2 de empedrado con cordon cuneta Planificados segun presupuesto 2016</t>
  </si>
  <si>
    <t>Proyectos de Invresión Pública y Desarrollo</t>
  </si>
  <si>
    <t>Equipamiento en Instituciones Públicas</t>
  </si>
  <si>
    <t xml:space="preserve">Quince Aulas nuevas a construirse según microplanificación y Presupuesto 2016 </t>
  </si>
  <si>
    <t>2 Comedores a construirse,  según microplanificación y Presupuesto 2016</t>
  </si>
  <si>
    <t>1 Construcción de techo y patio en el Colegio Nacional Moises Bertoni, según planificación municipal</t>
  </si>
  <si>
    <t>1 Construcción de vereda en el Colegio Moises Bertoni, según planificación municipal</t>
  </si>
  <si>
    <t xml:space="preserve"> 1 Reparacion de techo en el Instituto de Formacion Docente, según planificación </t>
  </si>
  <si>
    <t>276 Alumnos de la Educacion Inicial y la Educacion Escolar Basica de 1º y 2º, Recibiran Almuerzo Escolar, según planificación del año 2016</t>
  </si>
  <si>
    <t>250 m2 de Construcción de Veredas en 6 Escuelas del Distrito, según planificación para el Año 2016</t>
  </si>
  <si>
    <t>20 Equipos Informaticos para Instituciones Educativas, según planificación Municipal 2016</t>
  </si>
  <si>
    <t>10 Construcciónes de Sanitarios en centros educativos , según planificación Municipal 2016</t>
  </si>
  <si>
    <t>1 Construcción de Salón Multiuso del Centro Cultural, según planificación Municipal 2016</t>
  </si>
  <si>
    <t>5 Deudas por Construciones de Obras, según planificación Municipal 2016</t>
  </si>
  <si>
    <t>10 computadoras para Escuelas, según planificación ejercicio 2016</t>
  </si>
  <si>
    <t>20 armarios para Escuelas, según planificación ejercicio 2016</t>
  </si>
  <si>
    <t xml:space="preserve">Adquisición de 200 Sillas y Pupitres para Escuela  en el presupuesto según planificación Municipal </t>
  </si>
  <si>
    <t>13 Construcción de Aulas presupuestado según planificación Municipal 2016</t>
  </si>
  <si>
    <t xml:space="preserve">Construcción de 3 Cocina - Comedor en la Escuela  Básica 5243 Sagrada Familia, segun planificación </t>
  </si>
  <si>
    <t xml:space="preserve">Construcción de 1800 m2 de empedrado, que beneficia a los estudiante del distrito para el acceso a la educación. segun planificación </t>
  </si>
  <si>
    <t xml:space="preserve">1 Construcción de Enripiado, según planificación año 2016 </t>
  </si>
  <si>
    <t>1 Construcción de peatonal, desde el cartel de Bienvenida hasta el empalme de de la Doble Avenida, Incluyendo Camineros, Asientos, Jardineria, Red de Concepcion de agua, Juegos Infantiles, según planificación Municipal 2016.</t>
  </si>
  <si>
    <t>1093 Sillas c/Pupitre a ser adquiridas , Según planificación 2016</t>
  </si>
  <si>
    <t>12  sanitarios programados para el año 2016, según microplanificación</t>
  </si>
  <si>
    <t>Provisión de Almuerzo Escolar a 493 Alumnos de bajo nivel de Ingresos, segun planificación</t>
  </si>
  <si>
    <t>715 alumnos/as de la Educación Inicial y Educación Escolar Básica del 1° y 2 ciclo, matriculados con Almuerzo Escolar en el año 2016, según planificación</t>
  </si>
  <si>
    <t>4 Construcción de baños sexados para Escuelasy Colegios, en Santa Catalina, Bonanza, según planificación 2016</t>
  </si>
  <si>
    <t>35 Compra de Desmalezadoras para Instituciojnes Educativas del distrito de Yatytay, según planificación 2016</t>
  </si>
  <si>
    <t>24 Compra de Equipos varios, de Impresion para Instituciojnes Educativas del distrito de Yatytay, según planificación 2016</t>
  </si>
  <si>
    <t>650 alumnos Matriculados que recibiran Almuerzo Escolar, según planificación Municipal 2016</t>
  </si>
  <si>
    <t>2 techos de Aulas  a ser Refaccionadas según Microplanificación año 2016</t>
  </si>
  <si>
    <t>1 techo de Aula  a ser Refaccionadas según Microplanificación año 2016</t>
  </si>
  <si>
    <t>2  Aulas nuevas a construirse según microplanificación y Presupuesto 2016</t>
  </si>
  <si>
    <t>2 Sanitarios  a ser Remodelados según microplanificación y Presupuesto 2016</t>
  </si>
  <si>
    <t xml:space="preserve">762 alumnos de la escuela Inicial y Educacion Escolar Basica de 1 y 2 que reciben Almuerzo Escolar planificado en el presupuesto según planificación Municipal </t>
  </si>
  <si>
    <t xml:space="preserve"> 800 ml,  Construcción de cercado perimetral Escuela Basica N° 2116 planificado según planificación municipal</t>
  </si>
  <si>
    <t>Construcción de Salon de Reuniones en la escuela N° 213 Paz del Chaco   planificado en el presupuesto según planificación municipal</t>
  </si>
  <si>
    <t xml:space="preserve"> 3 Construcción de Aula con baño en la escuela Basica N° 7457 Tapysaby   planificado en el presupuesto según planificación municipal</t>
  </si>
  <si>
    <t>Construcción de 2.085 metros cuadrado de empedrado según planificación Municipal</t>
  </si>
  <si>
    <t xml:space="preserve"> 5 Construcciónes de aulas a construir planificado en el presupuesto según planificación Municipal en este ano 2016</t>
  </si>
  <si>
    <t>04 Deudas Obligadas según Presupuesto año 2016.-</t>
  </si>
  <si>
    <t xml:space="preserve"> 7 computadora 1 fotocopiadora , 5 armarios y 2 escritorios planificadas para construir planificado en el presupuesto según planificación Municipal en este ano 2016</t>
  </si>
  <si>
    <t xml:space="preserve"> 1 Construcción de Puente de hormigon sobre el arroyo Pirapo'i  planificado en el presupuesto según planificación municipal</t>
  </si>
  <si>
    <t>Para compra de  cien (100) sillas pedagogicas , planficacadas para el año 2016</t>
  </si>
  <si>
    <t>(2) Construcciónes del año 2015; Refaccion total de Escuela Basica N° 2515 Gral. Pedro Duarte y Escuela Basica N° 5229 San José 1ra. Linea  culminadas en el 2016 de (2) programadas.</t>
  </si>
  <si>
    <t>17 Construcciónes de Aulas Nuevas en centros educativos, según planificación Municipal 2016</t>
  </si>
  <si>
    <t>7  Construcciónes de Cocina Comedor en centros educativos, según planificación Municipal 2016</t>
  </si>
  <si>
    <t>4 Pago de deudas pendientes de pagos  por construcción en el Centro de Salud, Escuela  Carlos A. Lopez, segun planificación Municipal</t>
  </si>
  <si>
    <t>Para Provisión de Almuerzo Escolar a 1239 alumnos Matriculados, programados para el año 2016</t>
  </si>
  <si>
    <t>Sillas - Pupitres</t>
  </si>
  <si>
    <t>Cocina -
 Comedor</t>
  </si>
  <si>
    <t>Cocina - comedor</t>
  </si>
  <si>
    <t>Sillas - Mesas</t>
  </si>
  <si>
    <t>Mesas -Pupitres</t>
  </si>
  <si>
    <t>Sillas - Pupitre</t>
  </si>
  <si>
    <t>30 Adquisicion de mesas con caballetes para las escuelas del municipio con necesidad de equipamiento para el año 2016</t>
  </si>
  <si>
    <t>Salón Comunitario</t>
  </si>
  <si>
    <t>07. 04. Capitán Meza</t>
  </si>
  <si>
    <t>52091 raciones de almuerzo escolar a alumnos de educación inicial y educación escolar básica 1º y 2º ciclos matriculados, proyectado para el año</t>
  </si>
  <si>
    <t>1230 alumnos de la educación inicial y educación escolar básica 1º y 2º ciclo que recibirán almuerzo escolar, proyectado en el año 2016</t>
  </si>
  <si>
    <t>42 Reparaciones y Mantenimientos en 7 Instituciones Educativas a ser Reparadas y mantenidas para el año 2016</t>
  </si>
  <si>
    <t>35 Reparaciones y Mantenimientos en Instituciones varias, según planificación para el año 2016</t>
  </si>
  <si>
    <t>4500 ml de preparación y arreglos de caminos y enripiado en inmediaciones de Instituciones Educativas, planificado para el año 2016</t>
  </si>
  <si>
    <t>Construcción 2 pozo artesiano para Institución Educativa, según planificación 2016</t>
  </si>
  <si>
    <t>Construcción de 5000 ml de pavimento tipo asfaltado, según planificación 2016</t>
  </si>
  <si>
    <t>Adquisición de 1 minibus para traslado para uso de estudiantes e Instituciones Educativas</t>
  </si>
  <si>
    <t>Minibus</t>
  </si>
  <si>
    <t>1 Reparación, mantenimiento y pintura de aulas en 1 colegio educativo, planificado para el año 2016</t>
  </si>
  <si>
    <t>09 aulas a ser construidas en centros educativos, según Planificación Municipal 2016.</t>
  </si>
  <si>
    <t>40  pizarras acrilicas y/o de madera a ser adquiridos y a entregar a centros educativos, según Planificación Municipal 2016</t>
  </si>
  <si>
    <t>3 (tres) unidades de  Mesas (1 para clase y 2 para comedor) a ser entregadas en centros educativos, según Planificación Municipal 2016</t>
  </si>
  <si>
    <t>Pizarras</t>
  </si>
  <si>
    <t>Proyectos de Inversión Publica y Desarrollo</t>
  </si>
  <si>
    <t>2 Deudas de registradas a ser pagadas en el 2016, por agenda de Contrato para el plazo de entrega de la Obra, según planificación municipal.</t>
  </si>
  <si>
    <t>12276 raciones de almuerzo escolar para 310 Alumnos matriculados a ser beneficiados según Presupuesto Municipal 2016</t>
  </si>
  <si>
    <t>Proyectos de Inversion Pública y Desarrollo</t>
  </si>
  <si>
    <t>1) Construcción de empedrado con canaleta de piedra en la compañía Guarapi. 
Frente a escuela la Amistad a=7,00 long=200           2) Construcción de empedrado frente al oratorio Maria Eugenia y la compañía Potrerito del km 54 ruta Nº 1. 3) Construcción de empedrado con canaleta de piedra en la calle 29 de setiembre barrio San José.  4) Construcción de empedrado en la compañía zayas según planificación municipal 2016.</t>
  </si>
  <si>
    <t>16 (diez y seis) Transferencias a Comisiones Educativas realizadas según Planificación Municipal 2.016.</t>
  </si>
  <si>
    <t xml:space="preserve">Proyectos de Insfraestructura en Educación </t>
  </si>
  <si>
    <t>5 Construcciones de aulas construídas, según Planificación Municipal 2016</t>
  </si>
  <si>
    <t xml:space="preserve">6 seis de  baños sexados construidos en el año </t>
  </si>
  <si>
    <t>Construcción de 2300 ML de Pavimento Tipo enripiados para el año</t>
  </si>
  <si>
    <r>
      <t xml:space="preserve">1 </t>
    </r>
    <r>
      <rPr>
        <sz val="8"/>
        <color indexed="8"/>
        <rFont val="Calibri"/>
        <family val="2"/>
        <scheme val="minor"/>
      </rPr>
      <t>pago de deuda del ejercicio anterior en concepto de construcciones de edificaciones de uso publico, según Planificacion Municipal 2016.</t>
    </r>
  </si>
  <si>
    <r>
      <rPr>
        <sz val="8"/>
        <rFont val="Calibri"/>
        <family val="2"/>
        <scheme val="minor"/>
      </rPr>
      <t>1 Construccion de Aula en la Escuela Bas. N° 3120 "Nuevo Horizonte" construida, según planificación</t>
    </r>
  </si>
  <si>
    <r>
      <rPr>
        <sz val="8"/>
        <rFont val="Calibri"/>
        <family val="2"/>
        <scheme val="minor"/>
      </rPr>
      <t>1 Construccion de Aula en la Escuela  Bas. N° 3117 "Virgen de Fatima" construida, según planificación</t>
    </r>
  </si>
  <si>
    <r>
      <rPr>
        <sz val="8"/>
        <rFont val="Calibri"/>
        <family val="2"/>
        <scheme val="minor"/>
      </rPr>
      <t>400 mts lineal cercado perimetral en el colegio Nacional Tecnico contable "Vaqueria", según planificación</t>
    </r>
  </si>
  <si>
    <r>
      <rPr>
        <sz val="8"/>
        <rFont val="Calibri"/>
        <family val="2"/>
        <scheme val="minor"/>
      </rPr>
      <t>1 Baño Chico en la escuela Bas. N° 3118 "Santo Domingo" construida, según planificación</t>
    </r>
  </si>
  <si>
    <r>
      <rPr>
        <sz val="8"/>
        <rFont val="Calibri"/>
        <family val="2"/>
        <scheme val="minor"/>
      </rPr>
      <t>1 Baño Chico en la escuela Bas. N° 3109 "Maria Auxiliadora" construida, según planificación</t>
    </r>
  </si>
  <si>
    <r>
      <rPr>
        <sz val="8"/>
        <rFont val="Calibri"/>
        <family val="2"/>
        <scheme val="minor"/>
      </rPr>
      <t xml:space="preserve">30 Computadoras para 5 Instituciones planificadas a entregar en el año 2016 </t>
    </r>
  </si>
  <si>
    <t>1  (un) Baño a reparar en centros educativos, según Planificación Municipal 2016</t>
  </si>
  <si>
    <t xml:space="preserve">Proyectos de Inversión Pública y Desarrollo </t>
  </si>
  <si>
    <t>Equipamiento en Ias Instituciones Públicas</t>
  </si>
  <si>
    <t>Construccion de salon comedor escuela basica 7.248 Agustin Pio Barrios. Planificado y presupuestado en el ejercicio 2.016</t>
  </si>
  <si>
    <t>400 (cuatrocientos)  Pupitres entregadas en centros educativos, según Planificación Municipal 2016</t>
  </si>
  <si>
    <t>Baños</t>
  </si>
  <si>
    <t>Elaboración de proyectos de inversión a ser ejecutados con los fondos de FONACIDE: 1) Proyecto Rep.de SS HH,2) Iluminacion cercado perimetral , 3) Rep.de aulas y 4) Construccion de empedrado</t>
  </si>
  <si>
    <t>11 (once )  aulas construidas en centros educativos del Municipio, según Planificación Municipal 2016</t>
  </si>
  <si>
    <t>Equipamiento de las Instituciones Públicas</t>
  </si>
  <si>
    <t>5000 unidades de  PC , Sillas con Pupitres para alumnos y Profesores, según planificación 2016</t>
  </si>
  <si>
    <t xml:space="preserve">5000 unidades de  PC , Sillas con Pupitres para Preescolar, planificadas para el año 2016  </t>
  </si>
  <si>
    <t xml:space="preserve">Sillas -  Pupitres </t>
  </si>
  <si>
    <t>1 (una)   Cocina-comedor a construir en centros educativos, según Planificación Municipal 2016 del MEC.</t>
  </si>
  <si>
    <t>10 Aulas a ser refaccionadas en centros educativos, según Planificación Municipal 2016</t>
  </si>
  <si>
    <t>3  (tres) Baños a repararse en centros educativos, según Planificación Municipal 2016</t>
  </si>
  <si>
    <t>Construcción de 10  aulas en centros educativos, según Planificación Municipal 2016</t>
  </si>
  <si>
    <t>1 Construcción de sanitarios sexados en el Centro 11-5, según microplanificación Municipal 2016</t>
  </si>
  <si>
    <t>1 Construcción de Comedor tipo MEC en la Escuela Alejo Robadín, según Planificación Municipal 2016</t>
  </si>
  <si>
    <t>Mesas -Escritorios</t>
  </si>
  <si>
    <t xml:space="preserve"> 35500 raciones  de almuerzo escolar para 570 alumnos que recibiran segun lo  planificados de la Educación Inicial y Educación Escolar Básica del 1° y 2°  para el año 2016, según Presupuesto Municipal.-</t>
  </si>
  <si>
    <t>Adquisicion de 5 unidades de impresoras multifucion para intituciones educativas del distrito, según Planificacion Municipal 2016</t>
  </si>
  <si>
    <t>03 Proyectos de obras  previsto de acuerdo a la Planificacion Presupuestaria del 2016</t>
  </si>
  <si>
    <t xml:space="preserve">Metros </t>
  </si>
  <si>
    <t xml:space="preserve">Proyectos de Infraestrctura en Educación </t>
  </si>
  <si>
    <t>12.06. Guazú Cuá</t>
  </si>
  <si>
    <t>Construcción de 3 cocina comedor tipo 1, según planificación 2016</t>
  </si>
  <si>
    <t>Construccion y colocacion de 1120m2 adoquines frente al Colegio Nacional de Villalbin, Construccion y colocacion de 1102 m2 de adouines frente al Colegion Nacional de Isla Ro y s/ planificación 2016</t>
  </si>
  <si>
    <t>12.05. Gral. José Eduvigis Diaz</t>
  </si>
  <si>
    <t>Impresoras</t>
  </si>
  <si>
    <t>Electrodomésticos</t>
  </si>
  <si>
    <t>Mesas Pedagógicas</t>
  </si>
  <si>
    <t>Construcción de 6 aulas para escuelas y colegios, según Planificación Municipal 2016</t>
  </si>
  <si>
    <t>919 alumnos entregados de almuerzo escolar tanto en la educación  inicial y escolar básica 1o y 2o ciclos matriculados ante el MEC de las escuelas básicas según planificacion municipal 2016</t>
  </si>
  <si>
    <t>Reparacion de 12 Aulas e Iluminacion, refaccion en general segun Planificacion Municipal 2016</t>
  </si>
  <si>
    <t>10 (diez)  aulas construidas en centros educativos del Municipio, según Planificación Municipal 2016</t>
  </si>
  <si>
    <t>200 (doscientos)  Pupitres entregadas en centros educativos, según Planificación Municipal 2016</t>
  </si>
  <si>
    <t>4000 Metros cuadrados de  empedrados a ser construídos, según Planificación Municipal 2016</t>
  </si>
  <si>
    <t>4 aulas a construir en centros educativos,  Escuela San Antonio esc 1281 Santa Librada 7837 según Planificación Municipal 2016</t>
  </si>
  <si>
    <t xml:space="preserve">Construccion de (UNA) Cocina Comedor  en La Esc. Basica No.3233 Santa Luisa, segun planificación </t>
  </si>
  <si>
    <t>Aire Acondicionados</t>
  </si>
  <si>
    <t>687 alumnos/as de la Educación Inicial y Educación Escolar Básica del 1° y 2°, matriculados en el año 2015, según datos del MEC del año 2016.</t>
  </si>
  <si>
    <t>2(dos) aulas a ser construídas en centros educativos, según Planificación Municipal 2016</t>
  </si>
  <si>
    <t>1(una) obra de construccion de pista  a ser construídas en centros educativos, según Planificación Municipal 2016</t>
  </si>
  <si>
    <t>1 (un )cerco perimetral a ser construídas en centros educativos, según Planificación Municipal 2016</t>
  </si>
  <si>
    <t>3(tres) comedores a ser construidas en centro educativos, según Planificacion  Municipal 2016</t>
  </si>
  <si>
    <t>5 (cinco) Refacciones a ser realizadas en Instituciones Educativas, según planificacion  Municipal 2016</t>
  </si>
  <si>
    <t>1(una) biblioteca a ser construida en centros educativos, según Planificacion Municipal 2016</t>
  </si>
  <si>
    <t>3 (tres) construccion  de baños sexados a ser construídas en centros educativos, según Planificación Municipal 2016</t>
  </si>
  <si>
    <r>
      <rPr>
        <b/>
        <sz val="8"/>
        <rFont val="Calibri"/>
        <family val="2"/>
        <scheme val="minor"/>
      </rPr>
      <t xml:space="preserve">1 </t>
    </r>
    <r>
      <rPr>
        <sz val="8"/>
        <rFont val="Calibri"/>
        <family val="2"/>
        <scheme val="minor"/>
      </rPr>
      <t>deudas Pendientes de pagos, por construcciones planificados año 2016</t>
    </r>
  </si>
  <si>
    <t>Silla Pedagógicas</t>
  </si>
  <si>
    <t>20 Adquiciones Equipos informaticos para diferentes estamentos escolares de Loma Plata</t>
  </si>
  <si>
    <t xml:space="preserve">Ventiladores </t>
  </si>
  <si>
    <r>
      <rPr>
        <b/>
        <sz val="8"/>
        <rFont val="Calibri"/>
        <family val="2"/>
        <scheme val="minor"/>
      </rPr>
      <t>400</t>
    </r>
    <r>
      <rPr>
        <sz val="8"/>
        <rFont val="Calibri"/>
        <family val="2"/>
        <scheme val="minor"/>
      </rPr>
      <t xml:space="preserve"> Alumnos de la Educación Inicial y Educación Escolar Básica del 1° y 2° que recibirán almuerzo según Planificación Municipal 2016</t>
    </r>
  </si>
  <si>
    <r>
      <t>Construcción de</t>
    </r>
    <r>
      <rPr>
        <b/>
        <sz val="8"/>
        <rFont val="Calibri"/>
        <family val="2"/>
        <scheme val="minor"/>
      </rPr>
      <t xml:space="preserve"> 3</t>
    </r>
    <r>
      <rPr>
        <sz val="8"/>
        <rFont val="Calibri"/>
        <family val="2"/>
        <scheme val="minor"/>
      </rPr>
      <t xml:space="preserve"> aulas de 7,20x720 con galearia, según Planificación Municipal 2016</t>
    </r>
  </si>
  <si>
    <r>
      <t xml:space="preserve">Construcción de </t>
    </r>
    <r>
      <rPr>
        <b/>
        <sz val="8"/>
        <rFont val="Calibri"/>
        <family val="2"/>
        <scheme val="minor"/>
      </rPr>
      <t>1</t>
    </r>
    <r>
      <rPr>
        <sz val="8"/>
        <rFont val="Calibri"/>
        <family val="2"/>
        <scheme val="minor"/>
      </rPr>
      <t xml:space="preserve"> baño sexado, según Planificación Municipal 2016</t>
    </r>
  </si>
  <si>
    <r>
      <t xml:space="preserve">Construcción de </t>
    </r>
    <r>
      <rPr>
        <b/>
        <sz val="8"/>
        <rFont val="Calibri"/>
        <family val="2"/>
        <scheme val="minor"/>
      </rPr>
      <t>1</t>
    </r>
    <r>
      <rPr>
        <sz val="8"/>
        <rFont val="Calibri"/>
        <family val="2"/>
        <scheme val="minor"/>
      </rPr>
      <t xml:space="preserve"> Refaccion de aulas  en la Escuela Sierra Leon, según Planificación Municipal 2016</t>
    </r>
  </si>
  <si>
    <t>2000 alumnos de la Educación Inicial y Educación Escolar Básica del 1° y 2° que recibirán almuerzo escolar de 2.000 alumnos, según Presupuesto Municipal del año 2016</t>
  </si>
  <si>
    <t>Construcción de 2 Aulas  en centros educativos, según Planificación Municipal 2.016</t>
  </si>
  <si>
    <t>7  (siete) Remodelacion, mantenimiento y limpieza de  Instituciones Educativas de la Comuna,  según  la planificacion Municipal  2.016</t>
  </si>
  <si>
    <t>Cosntrucción de 1 baños sexados, según la planificacion Municipal 2.016</t>
  </si>
  <si>
    <t>3 (tres) Equipamientos del parque de las escuela, según la planificacion municipal año 2.016</t>
  </si>
  <si>
    <t>Adquisición de 250 Sillas pedagógicas a ser otorgados a escuelas en el año 2.016</t>
  </si>
  <si>
    <t>200 metros cuadrados de empedrados a ser construidos para acceso a Instituciones escolares  planificados en el año 2.016</t>
  </si>
  <si>
    <t>170  alumnos/as   de   la Educación   Inicial  y Educación  Escolar  Básica   del  1° y 2°,  matriculados  en el  año  2.016, son beneficiados con  el  almuerzo  escolar</t>
  </si>
  <si>
    <t>CAPITAL DE LA REPÚBLICA</t>
  </si>
  <si>
    <t>MUNICIPALIDADES 3º DPTO. CORDILLERA</t>
  </si>
  <si>
    <t>MUNICIPALIDADES 5º DPTO. CAAGUAZÚ</t>
  </si>
  <si>
    <t>MUNICIPALIDADES 7º DPTO. ITAPÚA</t>
  </si>
  <si>
    <t>ASUNCIÓN</t>
  </si>
  <si>
    <t>CAACUPÉ</t>
  </si>
  <si>
    <t>CORONEL OVIEDO</t>
  </si>
  <si>
    <t>MUNICIPALIDADES 1º DPTO. CONCEPCIÓN</t>
  </si>
  <si>
    <t>ALTOS</t>
  </si>
  <si>
    <t>CAAGUAZÚ</t>
  </si>
  <si>
    <t>BELLA VISTA</t>
  </si>
  <si>
    <t>CONCEPCIÓN</t>
  </si>
  <si>
    <t>ARROYOS Y ESTEROS</t>
  </si>
  <si>
    <t>CARAYAÓ</t>
  </si>
  <si>
    <t>CAMBYRETÁ</t>
  </si>
  <si>
    <t>BELÉN</t>
  </si>
  <si>
    <t>ATYRA</t>
  </si>
  <si>
    <t>DR. CECILIO BAEZ</t>
  </si>
  <si>
    <t>CAPITÁN MEZA</t>
  </si>
  <si>
    <t>HORQUETA</t>
  </si>
  <si>
    <t>CARAGUATAY</t>
  </si>
  <si>
    <t>SANTA ROSA DEL MBUTUY</t>
  </si>
  <si>
    <t>CAPITAN MIRANDA</t>
  </si>
  <si>
    <t>LORETO</t>
  </si>
  <si>
    <t>EMBOSCADA</t>
  </si>
  <si>
    <t>DR. JUAN MANUEL FRUTOS</t>
  </si>
  <si>
    <t>NUEVA ALBORADA</t>
  </si>
  <si>
    <t>SAN LÁZARO</t>
  </si>
  <si>
    <t>EUSEBIO AYALA</t>
  </si>
  <si>
    <t>REPATRIACIÓN</t>
  </si>
  <si>
    <t>CARMEN DEL PARANÁ</t>
  </si>
  <si>
    <t>YBY YAÚ</t>
  </si>
  <si>
    <t>ISLA PUCÚ</t>
  </si>
  <si>
    <t>NUEVA LONDRES</t>
  </si>
  <si>
    <t>CORONEL BOGADO</t>
  </si>
  <si>
    <t>SAN CARLOS DEL APA</t>
  </si>
  <si>
    <t>ITACURUBÍ DE LA CORDILLERA</t>
  </si>
  <si>
    <t>SAN JOAQUÍN</t>
  </si>
  <si>
    <t>CARLOS A.LÓPEZ</t>
  </si>
  <si>
    <t>AZOTE' Y</t>
  </si>
  <si>
    <t>JUAN DE MENA</t>
  </si>
  <si>
    <t>SAN JOSÉ DE LOS ARROYOS</t>
  </si>
  <si>
    <t>NATALIO</t>
  </si>
  <si>
    <t>SARGENTO JOSE FELIX LOPEZ</t>
  </si>
  <si>
    <t>LOMA GRANDE</t>
  </si>
  <si>
    <t>YHÚ</t>
  </si>
  <si>
    <t>FRAM</t>
  </si>
  <si>
    <t>PASO BARRETO</t>
  </si>
  <si>
    <t>MBOCAYATY DEL YHAGUY</t>
  </si>
  <si>
    <t>DR. J. EULOGIO ESTIGARRIBIA</t>
  </si>
  <si>
    <t>GENERAL ARTIGAS</t>
  </si>
  <si>
    <t>SAN ALFREDO</t>
  </si>
  <si>
    <t>NUEVA COLOMBIA</t>
  </si>
  <si>
    <t>R.I.3 CORRALES</t>
  </si>
  <si>
    <t>GENERAL DELGADO</t>
  </si>
  <si>
    <t>MUNICIPALIDADES 2º DPTO. SAN PEDRO</t>
  </si>
  <si>
    <t>PIRIBEBUY</t>
  </si>
  <si>
    <t>RAÚL ARSENIO OVIEDO</t>
  </si>
  <si>
    <t>HOHENAU</t>
  </si>
  <si>
    <t>SAN PEDRO DE YCUAMANDIYÚ</t>
  </si>
  <si>
    <t>PRIMERO DE MARZO</t>
  </si>
  <si>
    <t>JOSÉ DOMINGO OCAMPOS</t>
  </si>
  <si>
    <t>JESÚS</t>
  </si>
  <si>
    <t>ANTEQUERA</t>
  </si>
  <si>
    <t>SAN BERNARDINO</t>
  </si>
  <si>
    <t>MCAL. F. SOLANO LÓPEZ</t>
  </si>
  <si>
    <t>JOSÉ L. OVIEDO</t>
  </si>
  <si>
    <t>CHORÉ</t>
  </si>
  <si>
    <t>SANTA ELENA</t>
  </si>
  <si>
    <t>LA PASTORA</t>
  </si>
  <si>
    <t>OBLIGADO</t>
  </si>
  <si>
    <t>GRAL ELIZARDO AQUINO</t>
  </si>
  <si>
    <t>TOBATÍ</t>
  </si>
  <si>
    <t>3 DE FEBRERO</t>
  </si>
  <si>
    <t>MAYOR JULIO D. OTAÑO</t>
  </si>
  <si>
    <t xml:space="preserve">ITACURUBÍ DEL ROSARIO </t>
  </si>
  <si>
    <t>VALENZUELA</t>
  </si>
  <si>
    <t>SIMON BOLIVAR</t>
  </si>
  <si>
    <t>SAN COSME Y DAMIÁN</t>
  </si>
  <si>
    <t>LIMA</t>
  </si>
  <si>
    <t>SAN JOSÉ OBRERO</t>
  </si>
  <si>
    <t>VAQUERÍA</t>
  </si>
  <si>
    <t>SAN PEDRO DEL PARANÁ</t>
  </si>
  <si>
    <t>NUEVA GERMANIA</t>
  </si>
  <si>
    <t>MUNICIPALIDADES 4º DPTO. GUAIRÁ</t>
  </si>
  <si>
    <t>TEMBIAPORÂ</t>
  </si>
  <si>
    <t>SAN RAFAEL DEL PARANÁ</t>
  </si>
  <si>
    <t>SAN PABLO</t>
  </si>
  <si>
    <t>VILLARRICA</t>
  </si>
  <si>
    <t>NUEVA TOLEDO</t>
  </si>
  <si>
    <t>TRINIDAD</t>
  </si>
  <si>
    <t>YRYBUKUÁ</t>
  </si>
  <si>
    <t>BORJA</t>
  </si>
  <si>
    <t>MUNICIPALIDADES 6º DPTO. CAAZAPÁ</t>
  </si>
  <si>
    <t>EDELIRA</t>
  </si>
  <si>
    <t>SAN ESTANISLAO</t>
  </si>
  <si>
    <t>CAP. M. JOSÉ TROCHE</t>
  </si>
  <si>
    <t>CAAZAPÁ</t>
  </si>
  <si>
    <t>TOMAS ROMERO PEREIRA</t>
  </si>
  <si>
    <t>TACUATI</t>
  </si>
  <si>
    <t>CORONEL MARTÍNEZ</t>
  </si>
  <si>
    <t>ABAÍ</t>
  </si>
  <si>
    <t>ALTO VERA</t>
  </si>
  <si>
    <t>UNIÓN</t>
  </si>
  <si>
    <t>FÉLIX PEREZ CARDOZO</t>
  </si>
  <si>
    <t>BUENA VISTA</t>
  </si>
  <si>
    <t>LA PAZ</t>
  </si>
  <si>
    <t>25 DE DICIEMBRE</t>
  </si>
  <si>
    <t>GRAL. EUGENIO A. GARAY</t>
  </si>
  <si>
    <t>DR. MOISÉS BERTONI</t>
  </si>
  <si>
    <t>YATYTAY</t>
  </si>
  <si>
    <t>VILLA DEL ROSARIO</t>
  </si>
  <si>
    <t>GENERAL H. MORÍNIGO</t>
  </si>
  <si>
    <t>SAN JUAN DEL PARANÁ</t>
  </si>
  <si>
    <t>GRAL. I. RESQUÍN</t>
  </si>
  <si>
    <t>ITAPÉ</t>
  </si>
  <si>
    <t>MACIEL</t>
  </si>
  <si>
    <t>PIRAPÓ</t>
  </si>
  <si>
    <t>YATAITY DEL NORTE</t>
  </si>
  <si>
    <t>ITURBE</t>
  </si>
  <si>
    <t>SAN JUAN NEPOMUCENO</t>
  </si>
  <si>
    <t>ITAPUA POTY</t>
  </si>
  <si>
    <t>GUAJAYVI</t>
  </si>
  <si>
    <t>JOSÉ FASSARDI</t>
  </si>
  <si>
    <t>TAVAÍ</t>
  </si>
  <si>
    <t>CAPIIBARY</t>
  </si>
  <si>
    <t>YEGROS</t>
  </si>
  <si>
    <t>MUNICIPALIDADES 12º DPTO. ÑEEMBUCÚ</t>
  </si>
  <si>
    <t>SANTA ROSA DEL AGUARAY</t>
  </si>
  <si>
    <t>NATALICIO TALAVERA</t>
  </si>
  <si>
    <t>YUTY</t>
  </si>
  <si>
    <t>PILAR</t>
  </si>
  <si>
    <t>LIBERACION</t>
  </si>
  <si>
    <t>ÑUMÍ</t>
  </si>
  <si>
    <t>3 DE MAYO</t>
  </si>
  <si>
    <t>ALBERDI</t>
  </si>
  <si>
    <t>SAN SALVADOR</t>
  </si>
  <si>
    <t>CERRITO</t>
  </si>
  <si>
    <t>MUNICIPALIDADES 8º DPTO. MISIONES</t>
  </si>
  <si>
    <t>YATAITY DEL GUAIRÁ</t>
  </si>
  <si>
    <t>MUNICIPALIDADES 11º DPTO. CENTRAL</t>
  </si>
  <si>
    <t>DESMOCHADOS</t>
  </si>
  <si>
    <t>SAN JUAN BAUTISTA</t>
  </si>
  <si>
    <t>DR. BOTTRELL</t>
  </si>
  <si>
    <t>AREGUÁ</t>
  </si>
  <si>
    <t>GRAL. JOSÉ EDUVIGIS DÍAZ</t>
  </si>
  <si>
    <t>AYOLAS</t>
  </si>
  <si>
    <t>PASO YOBAI</t>
  </si>
  <si>
    <t>CAPIATÁ</t>
  </si>
  <si>
    <t>GUAZUCUÁ</t>
  </si>
  <si>
    <t>SAN IGNACIO</t>
  </si>
  <si>
    <t>TEBICUARY</t>
  </si>
  <si>
    <t>FERNANDO DE LA MORA</t>
  </si>
  <si>
    <t>HUMAITÁ</t>
  </si>
  <si>
    <t>SAN MIGUEL</t>
  </si>
  <si>
    <t>GUARAMBARÉ</t>
  </si>
  <si>
    <t>ISLA UMBÚ</t>
  </si>
  <si>
    <t>SAN PATRICIO</t>
  </si>
  <si>
    <t>MUNICIPALIDADES 10º DPTO. ALTO PARANÁ</t>
  </si>
  <si>
    <t>ITÁ</t>
  </si>
  <si>
    <t>LAURELES</t>
  </si>
  <si>
    <t>CIUDAD DEL ESTE</t>
  </si>
  <si>
    <t>ITAUGUÁ</t>
  </si>
  <si>
    <t>MAYOR J. DEJESÚS MARTÍNEZ</t>
  </si>
  <si>
    <t>SANTA ROSA</t>
  </si>
  <si>
    <t>PTE. FRANCO</t>
  </si>
  <si>
    <t>LAMBARÉ</t>
  </si>
  <si>
    <t>PASO DE PATRIA</t>
  </si>
  <si>
    <t>SANTIAGO</t>
  </si>
  <si>
    <t>DOMINGO M. DE IRALA</t>
  </si>
  <si>
    <t>LIMPIO</t>
  </si>
  <si>
    <t>SAN JUAN B. DE ÑEEMBUCÚ</t>
  </si>
  <si>
    <t>VILLA FLORIDA</t>
  </si>
  <si>
    <t>DR. JUAN L. MALLORQUÍN</t>
  </si>
  <si>
    <t>LUQUE</t>
  </si>
  <si>
    <t>TACUARAS</t>
  </si>
  <si>
    <t>YABEBYRY</t>
  </si>
  <si>
    <t>HERNANDARIAS</t>
  </si>
  <si>
    <t>MARIANO R. ALONSO</t>
  </si>
  <si>
    <t>VILLA FRANCA</t>
  </si>
  <si>
    <t>SANTA FÉ DEL PARANÁ</t>
  </si>
  <si>
    <t>NUEVA ITALIA</t>
  </si>
  <si>
    <t>VILLA OLIVA</t>
  </si>
  <si>
    <t>MUNICIPALIDADES 9º DPTO. PARAGUARÍ</t>
  </si>
  <si>
    <t>ITAKYRY</t>
  </si>
  <si>
    <t>ÑEMBY</t>
  </si>
  <si>
    <t>VILLALBÍN</t>
  </si>
  <si>
    <t>PARAGUARÍ</t>
  </si>
  <si>
    <t>JUAN E. OLEARY</t>
  </si>
  <si>
    <t>SAN ANTONIO</t>
  </si>
  <si>
    <t>MUNICIPALIDADES 13º DPTO. AMAMBAY</t>
  </si>
  <si>
    <t>ACAHAY</t>
  </si>
  <si>
    <t>ÑACUNDAY</t>
  </si>
  <si>
    <t>SAN LORENZO</t>
  </si>
  <si>
    <t>PEDRO JUAN CABALLERO</t>
  </si>
  <si>
    <t>CAAPUCÚ</t>
  </si>
  <si>
    <t>YGUAZÚ</t>
  </si>
  <si>
    <t>VILLA ELISA</t>
  </si>
  <si>
    <t>BELLA VISTA NORTE</t>
  </si>
  <si>
    <t>GRAL. BERNARDINO CABALLERO</t>
  </si>
  <si>
    <t>LOS CEDRALES</t>
  </si>
  <si>
    <t>VILLETA</t>
  </si>
  <si>
    <t>CAPITÁN BADO</t>
  </si>
  <si>
    <t>CARAPEGUÁ</t>
  </si>
  <si>
    <t>MINGA GUAZÚ</t>
  </si>
  <si>
    <t>YPACARAÍ</t>
  </si>
  <si>
    <t>ZANJA PYTÂ</t>
  </si>
  <si>
    <t>ESCOBAR</t>
  </si>
  <si>
    <t>SAN CRISTÓBAL</t>
  </si>
  <si>
    <t>YPANÉ</t>
  </si>
  <si>
    <t xml:space="preserve">KARAPAI </t>
  </si>
  <si>
    <t>LA COLMENA</t>
  </si>
  <si>
    <t>SANTA RITA</t>
  </si>
  <si>
    <t>J. AUGUSTO SALDÌVAR</t>
  </si>
  <si>
    <t>MBUYAPEY</t>
  </si>
  <si>
    <t>NARANJAL</t>
  </si>
  <si>
    <t>MUNICIPALIDADES 17º DPTO. ALTO PARAGUAY</t>
  </si>
  <si>
    <t>PIRAYÚ</t>
  </si>
  <si>
    <t>SANTA ROSA DEL MONDAY</t>
  </si>
  <si>
    <t>MUNICIPALIDADES 16º DPTO. BOQUERÓN</t>
  </si>
  <si>
    <t>FUERTE OLIMPO</t>
  </si>
  <si>
    <t>QUIINDY</t>
  </si>
  <si>
    <t>MINGA PORÁ</t>
  </si>
  <si>
    <t>MCAL JOSÉ FELIX ESTIGARRIBIA</t>
  </si>
  <si>
    <t>LA VICTORIA (EX PUERTO CASADO)</t>
  </si>
  <si>
    <t>QUYQUYHÓ</t>
  </si>
  <si>
    <t>MBARACAYÚ</t>
  </si>
  <si>
    <t>FILADELFIA</t>
  </si>
  <si>
    <t>BAHIA NEGRA</t>
  </si>
  <si>
    <t>SAN ROQUE G. DE S. CRUZ</t>
  </si>
  <si>
    <t>SAN ALBERTO</t>
  </si>
  <si>
    <t>LOMA PLATA</t>
  </si>
  <si>
    <t>CARMELO PERALTA</t>
  </si>
  <si>
    <t>SAPUCAI</t>
  </si>
  <si>
    <t>IRUÑA</t>
  </si>
  <si>
    <t>TEBICUARYMI</t>
  </si>
  <si>
    <t>TAVAPY</t>
  </si>
  <si>
    <t>YAGUARÓN</t>
  </si>
  <si>
    <t>RAÚL PEÑA</t>
  </si>
  <si>
    <t>YBYCUÍ</t>
  </si>
  <si>
    <t>YBYTIMI</t>
  </si>
  <si>
    <t>MUNICIPALIDADES 15º DPTO. PTE. HAYES</t>
  </si>
  <si>
    <t>BENJAMÍN ACEVAL</t>
  </si>
  <si>
    <t>MUNICIPALIDADES 14º DPTO. CANENDIYÚ</t>
  </si>
  <si>
    <t>PUERTO PINASCO</t>
  </si>
  <si>
    <t>SALTO DEL GUAIRÁ</t>
  </si>
  <si>
    <t>VILLA HAYES</t>
  </si>
  <si>
    <t>CORPUS CHRISTI</t>
  </si>
  <si>
    <t>NANAWA</t>
  </si>
  <si>
    <t>CURUGUATY</t>
  </si>
  <si>
    <t>PUERTO FALCÓN</t>
  </si>
  <si>
    <t>YASY KAÑY</t>
  </si>
  <si>
    <t>TENIENTE 1° MANUEL IRALA FERNANDEZ</t>
  </si>
  <si>
    <t>YGATIMÍ</t>
  </si>
  <si>
    <t>TENIENTE ESTEBAN MARTINEZ</t>
  </si>
  <si>
    <t>ITANARÁ</t>
  </si>
  <si>
    <t>GRAL. JOSÉ MARÍA BRUGUEZ</t>
  </si>
  <si>
    <t>YPEJHU</t>
  </si>
  <si>
    <t>GRAL. FRANCISCO CABALLERO</t>
  </si>
  <si>
    <t>KATUETÉ</t>
  </si>
  <si>
    <t>LA PALOMA</t>
  </si>
  <si>
    <t>NUEVA ESPERANZA</t>
  </si>
  <si>
    <t>YBYRAROBANA</t>
  </si>
  <si>
    <t xml:space="preserve">YBY PYTA </t>
  </si>
  <si>
    <t>ENCARNACIÓN</t>
  </si>
  <si>
    <t>02.10.San Pablo</t>
  </si>
  <si>
    <r>
      <rPr>
        <b/>
        <sz val="10"/>
        <rFont val="Arial"/>
        <family val="2"/>
      </rPr>
      <t>Fuente</t>
    </r>
    <r>
      <rPr>
        <sz val="10"/>
        <rFont val="Arial"/>
        <family val="2"/>
      </rPr>
      <t>: SIAF – Datos Preliminares al 04/05/2017.</t>
    </r>
  </si>
  <si>
    <t>03. 15.  1° de Marzo</t>
  </si>
  <si>
    <t>INDEPENDENCIA</t>
  </si>
  <si>
    <t>4.08. Itape</t>
  </si>
  <si>
    <t>4.09. Iturbe</t>
  </si>
  <si>
    <t>MBOCAYATY</t>
  </si>
  <si>
    <t xml:space="preserve">06.06. Coronel Maciel </t>
  </si>
  <si>
    <t>06.07. San Juan Nepomuceno</t>
  </si>
  <si>
    <t>06.09. Fulgencio Yegros</t>
  </si>
  <si>
    <t>06.10. Yuty</t>
  </si>
  <si>
    <t>06.11. 3 de Mayo</t>
  </si>
  <si>
    <t>6.01. Caazapá</t>
  </si>
  <si>
    <t>06. 04 Moises S. Bertoni</t>
  </si>
  <si>
    <t>6.03. Buena Vista</t>
  </si>
  <si>
    <t>07.13. General José M. Delgado</t>
  </si>
  <si>
    <t>7.18. Mayor Julio D. Otaño</t>
  </si>
  <si>
    <t>7.19. San Cosme y Damián</t>
  </si>
  <si>
    <t>13.04. Zanja Pyta</t>
  </si>
  <si>
    <t>SANTA MARÍA</t>
  </si>
  <si>
    <t>08.10. Yabebyry</t>
  </si>
  <si>
    <t>14.01. Saltos del Guairá</t>
  </si>
  <si>
    <t>09.03 Caapucú</t>
  </si>
  <si>
    <t>09.05. Carapeguá</t>
  </si>
  <si>
    <t>09.07. La Colmena</t>
  </si>
  <si>
    <t>09.09. Pirayú</t>
  </si>
  <si>
    <t>09.15. Yaguarón</t>
  </si>
  <si>
    <t>11.06. Itauguá</t>
  </si>
  <si>
    <t>11.09. Luque</t>
  </si>
  <si>
    <t>10.04.  Juan León Mallorquín</t>
  </si>
  <si>
    <t>10.06. Santa Fe del Paraná</t>
  </si>
  <si>
    <t>10.10. Yguazú</t>
  </si>
  <si>
    <t>10.12. Minga Guazú</t>
  </si>
  <si>
    <t>10.17. Minga Porá</t>
  </si>
  <si>
    <t>10.18.  Mbaracayú</t>
  </si>
  <si>
    <t>10.22. Dr. Raul Peña</t>
  </si>
  <si>
    <t>Gobiernos Municipales</t>
  </si>
  <si>
    <t>1.01. Concepción</t>
  </si>
  <si>
    <t>01. Concepción</t>
  </si>
  <si>
    <t>1.02. Belén</t>
  </si>
  <si>
    <t xml:space="preserve">01. Concepción </t>
  </si>
  <si>
    <t>1.05. San Lázaro</t>
  </si>
  <si>
    <t>1.06. Yby Yaú</t>
  </si>
  <si>
    <t>1.08. Azote'y</t>
  </si>
  <si>
    <t>1.09. Sargento José Felix López</t>
  </si>
  <si>
    <t>01.Concepción</t>
  </si>
  <si>
    <t>02.03. Choré</t>
  </si>
  <si>
    <t>02.04. Gral. Elizardo Aquino</t>
  </si>
  <si>
    <t>02.05. Itacurubí del Rosario</t>
  </si>
  <si>
    <t>02.09. Yrybucuá</t>
  </si>
  <si>
    <t>02.15. Gral. Francisco Isodoro Resquín</t>
  </si>
  <si>
    <t>02.18. Capiibary</t>
  </si>
  <si>
    <t>03. 01 Caacupé</t>
  </si>
  <si>
    <t>03. 08 Isla Pucú</t>
  </si>
  <si>
    <t>03. 09 Itacurubí de la Cordillera</t>
  </si>
  <si>
    <t>4.03.  Mauiricio José Troche</t>
  </si>
  <si>
    <t>19  Guairá</t>
  </si>
  <si>
    <t>20  Guairá</t>
  </si>
  <si>
    <t>21  Guairá</t>
  </si>
  <si>
    <t>22  Guairá</t>
  </si>
  <si>
    <t>23  Guairá</t>
  </si>
  <si>
    <t>24  Guairá</t>
  </si>
  <si>
    <t>25  Guairá</t>
  </si>
  <si>
    <t>26  Guairá</t>
  </si>
  <si>
    <t>27  Guairá</t>
  </si>
  <si>
    <t>28  Guairá</t>
  </si>
  <si>
    <t>29  Guairá</t>
  </si>
  <si>
    <t>30  Guairá</t>
  </si>
  <si>
    <t>31  Guairá</t>
  </si>
  <si>
    <t>04. Guairá</t>
  </si>
  <si>
    <t>4.05. Félix Pérez Cardozo</t>
  </si>
  <si>
    <t>4.10. José Fassardi</t>
  </si>
  <si>
    <t>04.Guairá</t>
  </si>
  <si>
    <t>4.15. Yataity del Guairá</t>
  </si>
  <si>
    <t>05. Caaguazú</t>
  </si>
  <si>
    <t>5.02. Caaguazú</t>
  </si>
  <si>
    <t>5.03. Carayaó</t>
  </si>
  <si>
    <t>5.04. Dr. Cecilio Báez</t>
  </si>
  <si>
    <t>5.09. San Joaquín</t>
  </si>
  <si>
    <t>5.11. Yhú</t>
  </si>
  <si>
    <t>5.15. José Domingo Ocampos</t>
  </si>
  <si>
    <t>5.16.  Mcal. Francisco Solano López</t>
  </si>
  <si>
    <t>5.19. Simón Bolivar</t>
  </si>
  <si>
    <t>5.21. Tembiaporá</t>
  </si>
  <si>
    <t>06. Caazapá</t>
  </si>
  <si>
    <t>6.02. Abaí</t>
  </si>
  <si>
    <t>06.05. Gral. Higinio Morínigo</t>
  </si>
  <si>
    <t>06.08. Tavaí</t>
  </si>
  <si>
    <t>07. 03. Cambyretá</t>
  </si>
  <si>
    <t>07.25. Alto Verá</t>
  </si>
  <si>
    <t>07.29. Pirapó</t>
  </si>
  <si>
    <t>08.06. Santa María de Fe</t>
  </si>
  <si>
    <t>09.01. Paraguarí</t>
  </si>
  <si>
    <t>09. Paraguarí</t>
  </si>
  <si>
    <t>09.12. San Roque González de Santa Cruz</t>
  </si>
  <si>
    <t>09.16. Ybycuí</t>
  </si>
  <si>
    <t>09.17. Ybytymí</t>
  </si>
  <si>
    <t>10. Alto Paraná</t>
  </si>
  <si>
    <t>10.03. Domingo Martínez de Irala</t>
  </si>
  <si>
    <t>10.08. Juan E. O'leary</t>
  </si>
  <si>
    <t>10.13. San Cristóbal</t>
  </si>
  <si>
    <t>11.17. Ypacaraí</t>
  </si>
  <si>
    <t>11.19. J. Augusto Saldívar</t>
  </si>
  <si>
    <t>12. Ñeembucú</t>
  </si>
  <si>
    <t>12.08. Isla Umbú</t>
  </si>
  <si>
    <t>12.10. Mayor Jose D. Martínez</t>
  </si>
  <si>
    <t>12.12. San Juan Bautista de Ñeembucú</t>
  </si>
  <si>
    <t>13.03. Capitán Bado</t>
  </si>
  <si>
    <t>13.05. Karapaí</t>
  </si>
  <si>
    <t>14.Canindeyú</t>
  </si>
  <si>
    <t>14. Canindeyú</t>
  </si>
  <si>
    <t>14.05. Villa Ygatimí</t>
  </si>
  <si>
    <t>14.06. Itanará</t>
  </si>
  <si>
    <t>14. 07. Ypejhú</t>
  </si>
  <si>
    <t>14.08. Gral. Francisco Caballero Alvarez</t>
  </si>
  <si>
    <t>14.09. Katueté</t>
  </si>
  <si>
    <t>14.10. La Paloma del Espíritu Santo</t>
  </si>
  <si>
    <t>14.12. Ybyrarobaná</t>
  </si>
  <si>
    <t>14.13. Yby Pytá</t>
  </si>
  <si>
    <t>16.01. Mcal. José Félix Estigarribia</t>
  </si>
  <si>
    <t>16. Boquerón</t>
  </si>
  <si>
    <t>Denominación</t>
  </si>
  <si>
    <t>Denominacións Alimenticios para Elaboración de 30.958 raciones de Almuerzo Escolar (aprox) para 298 alumnos de la Educación Inicial y Educación Escolar Básica del 1° y 2° que recibirán almuerzo escolar por 5 meses, según Presupuesto Municipal del año 2016</t>
  </si>
  <si>
    <t>Denominacións Alimenticios para Elaboración de 60.234 raciones de Almuerzo Escolar (aprox) para 440 alumnos de la Educación Inicial y Educación Escolar Básica del 1° y 2° que recibirán almuerzo escolar por 7 meses, según Presupuesto Municipal del año 2016</t>
  </si>
  <si>
    <t>Infraestructura en Educación y Almuerzo Escolar  -  Año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</si>
</sst>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Gs&quot;\ * #,##0.00_);_(&quot;Gs&quot;\ * \(#,##0.00\);_(&quot;Gs&quot;\ * &quot;-&quot;??_);_(@_)"/>
    <numFmt numFmtId="43" formatCode="_(* #,##0.00_);_(* \(#,##0.00\);_(* &quot;-&quot;??_);_(@_)"/>
    <numFmt numFmtId="164" formatCode="_-* #,##0.00\ _€_-;\-* #,##0.00\ _€_-;_-* &quot;-&quot;??\ _€_-;_-@_-"/>
    <numFmt numFmtId="165" formatCode="_(* #,##0_);_(* \(#,##0\);_(* &quot;-&quot;??_);_(@_)"/>
    <numFmt numFmtId="166" formatCode="_-* #,##0\ _€_-;\-* #,##0\ _€_-;_-* &quot;-&quot;??\ _€_-;_-@_-"/>
    <numFmt numFmtId="167" formatCode="#,##0,,"/>
    <numFmt numFmtId="168" formatCode="#,##0_ ;[Red]\-#,##0\ "/>
  </numFmts>
  <fonts count="40" x14ac:knownFonts="1">
    <font>
      <sz val="11"/>
      <color theme="1"/>
      <name val="Calibri"/>
      <family val="2"/>
      <scheme val="minor"/>
    </font>
    <font>
      <sz val="11"/>
      <color theme="1"/>
      <name val="Calibri"/>
      <family val="2"/>
      <scheme val="minor"/>
    </font>
    <font>
      <sz val="11"/>
      <color indexed="8"/>
      <name val="Calibri"/>
      <family val="2"/>
      <charset val="1"/>
    </font>
    <font>
      <sz val="10"/>
      <name val="Arial"/>
      <family val="2"/>
    </font>
    <font>
      <sz val="10"/>
      <name val="Calibri"/>
      <family val="2"/>
      <scheme val="minor"/>
    </font>
    <font>
      <sz val="10"/>
      <color theme="1"/>
      <name val="Calibri"/>
      <family val="2"/>
      <scheme val="minor"/>
    </font>
    <font>
      <sz val="8"/>
      <color theme="1"/>
      <name val="Calibri"/>
      <family val="2"/>
      <scheme val="minor"/>
    </font>
    <font>
      <sz val="10"/>
      <color rgb="FF002060"/>
      <name val="Calibri"/>
      <family val="2"/>
      <scheme val="minor"/>
    </font>
    <font>
      <sz val="10"/>
      <color rgb="FF002060"/>
      <name val="Times New Roman"/>
      <family val="1"/>
    </font>
    <font>
      <sz val="10"/>
      <name val="Times New Roman"/>
      <family val="1"/>
    </font>
    <font>
      <sz val="8"/>
      <name val="Calibri"/>
      <family val="2"/>
      <scheme val="minor"/>
    </font>
    <font>
      <sz val="11"/>
      <name val="Calibri"/>
      <family val="2"/>
      <scheme val="minor"/>
    </font>
    <font>
      <sz val="9"/>
      <color theme="1"/>
      <name val="Times New Roman"/>
      <family val="1"/>
    </font>
    <font>
      <sz val="10"/>
      <color theme="1"/>
      <name val="Times New Roman"/>
      <family val="1"/>
    </font>
    <font>
      <sz val="10"/>
      <color indexed="8"/>
      <name val="Times New Roman"/>
      <family val="1"/>
    </font>
    <font>
      <sz val="10"/>
      <color theme="1"/>
      <name val="Century Schoolbook"/>
      <family val="1"/>
    </font>
    <font>
      <sz val="10"/>
      <color indexed="8"/>
      <name val="Calibri"/>
      <family val="2"/>
      <scheme val="minor"/>
    </font>
    <font>
      <sz val="9"/>
      <color theme="1"/>
      <name val="Calibri"/>
      <family val="2"/>
      <scheme val="minor"/>
    </font>
    <font>
      <sz val="10"/>
      <color rgb="FF000000"/>
      <name val="Times New Roman"/>
      <family val="1"/>
    </font>
    <font>
      <sz val="10"/>
      <color rgb="FF000000"/>
      <name val="Calibri"/>
      <family val="2"/>
      <scheme val="minor"/>
    </font>
    <font>
      <sz val="11"/>
      <color indexed="8"/>
      <name val="Calibri"/>
      <family val="2"/>
    </font>
    <font>
      <sz val="10"/>
      <color rgb="FFFFFF00"/>
      <name val="Times New Roman"/>
      <family val="1"/>
    </font>
    <font>
      <b/>
      <sz val="11"/>
      <color theme="1"/>
      <name val="Calibri"/>
      <family val="2"/>
      <scheme val="minor"/>
    </font>
    <font>
      <b/>
      <sz val="12"/>
      <color theme="1"/>
      <name val="Calibri"/>
      <family val="2"/>
      <scheme val="minor"/>
    </font>
    <font>
      <sz val="7"/>
      <color theme="1"/>
      <name val="Calibri"/>
      <family val="2"/>
      <scheme val="minor"/>
    </font>
    <font>
      <sz val="9"/>
      <name val="Calibri"/>
      <family val="2"/>
      <scheme val="minor"/>
    </font>
    <font>
      <b/>
      <sz val="8"/>
      <color theme="1"/>
      <name val="Calibri"/>
      <family val="2"/>
      <scheme val="minor"/>
    </font>
    <font>
      <sz val="8"/>
      <color indexed="8"/>
      <name val="Calibri"/>
      <family val="2"/>
      <scheme val="minor"/>
    </font>
    <font>
      <b/>
      <sz val="11"/>
      <name val="Calibri"/>
      <family val="2"/>
      <scheme val="minor"/>
    </font>
    <font>
      <sz val="11"/>
      <color rgb="FF000000"/>
      <name val="Calibri"/>
      <family val="2"/>
      <scheme val="minor"/>
    </font>
    <font>
      <sz val="8"/>
      <color rgb="FF000000"/>
      <name val="Calibri"/>
      <family val="2"/>
      <scheme val="minor"/>
    </font>
    <font>
      <b/>
      <sz val="8"/>
      <name val="Calibri"/>
      <family val="2"/>
      <scheme val="minor"/>
    </font>
    <font>
      <sz val="11"/>
      <color indexed="8"/>
      <name val="Calibri"/>
      <family val="2"/>
      <scheme val="minor"/>
    </font>
    <font>
      <b/>
      <sz val="20"/>
      <color theme="0"/>
      <name val="Calibri"/>
      <family val="2"/>
      <scheme val="minor"/>
    </font>
    <font>
      <b/>
      <sz val="16"/>
      <color theme="1"/>
      <name val="Arial"/>
      <family val="2"/>
    </font>
    <font>
      <b/>
      <sz val="10"/>
      <name val="Trebuchet MS"/>
      <family val="2"/>
    </font>
    <font>
      <b/>
      <sz val="10"/>
      <name val="Arial"/>
      <family val="2"/>
    </font>
    <font>
      <vertAlign val="superscript"/>
      <sz val="12"/>
      <name val="Arial"/>
      <family val="2"/>
    </font>
    <font>
      <sz val="8"/>
      <name val="Trebuchet MS"/>
      <family val="2"/>
    </font>
    <font>
      <u/>
      <sz val="11"/>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rgb="FFCCFFFF"/>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3"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tint="-4.9989318521683403E-2"/>
      </left>
      <right style="thick">
        <color theme="0" tint="-4.9989318521683403E-2"/>
      </right>
      <top style="thick">
        <color theme="0" tint="-4.9989318521683403E-2"/>
      </top>
      <bottom/>
      <diagonal/>
    </border>
    <border>
      <left style="thick">
        <color theme="0" tint="-4.9989318521683403E-2"/>
      </left>
      <right style="thick">
        <color theme="0" tint="-4.9989318521683403E-2"/>
      </right>
      <top/>
      <bottom style="thick">
        <color theme="0" tint="-4.9989318521683403E-2"/>
      </bottom>
      <diagonal/>
    </border>
    <border>
      <left style="thick">
        <color theme="0" tint="-4.9989318521683403E-2"/>
      </left>
      <right style="thick">
        <color theme="0" tint="-4.9989318521683403E-2"/>
      </right>
      <top/>
      <bottom/>
      <diagonal/>
    </border>
    <border>
      <left style="thick">
        <color theme="0"/>
      </left>
      <right style="thick">
        <color theme="0"/>
      </right>
      <top/>
      <bottom style="thick">
        <color theme="0" tint="-4.9989318521683403E-2"/>
      </bottom>
      <diagonal/>
    </border>
    <border>
      <left/>
      <right style="thick">
        <color theme="0" tint="-4.9989318521683403E-2"/>
      </right>
      <top style="thick">
        <color theme="0" tint="-4.9989318521683403E-2"/>
      </top>
      <bottom style="thick">
        <color theme="0" tint="-4.9989318521683403E-2"/>
      </bottom>
      <diagonal/>
    </border>
    <border>
      <left style="thick">
        <color theme="0"/>
      </left>
      <right style="thick">
        <color theme="0"/>
      </right>
      <top style="thick">
        <color theme="0"/>
      </top>
      <bottom style="thin">
        <color indexed="64"/>
      </bottom>
      <diagonal/>
    </border>
    <border>
      <left style="thick">
        <color theme="0"/>
      </left>
      <right style="thick">
        <color theme="0"/>
      </right>
      <top style="thin">
        <color indexed="64"/>
      </top>
      <bottom style="thick">
        <color theme="0"/>
      </bottom>
      <diagonal/>
    </border>
    <border>
      <left style="thick">
        <color theme="0"/>
      </left>
      <right style="thick">
        <color theme="0"/>
      </right>
      <top style="thin">
        <color indexed="64"/>
      </top>
      <bottom/>
      <diagonal/>
    </border>
    <border>
      <left style="thick">
        <color theme="0"/>
      </left>
      <right style="thick">
        <color theme="0"/>
      </right>
      <top/>
      <bottom style="thin">
        <color indexed="64"/>
      </bottom>
      <diagonal/>
    </border>
    <border>
      <left style="thick">
        <color theme="0"/>
      </left>
      <right/>
      <top/>
      <bottom style="thick">
        <color theme="0"/>
      </bottom>
      <diagonal/>
    </border>
    <border>
      <left/>
      <right/>
      <top/>
      <bottom style="thick">
        <color theme="0"/>
      </bottom>
      <diagonal/>
    </border>
    <border>
      <left/>
      <right/>
      <top style="thick">
        <color theme="0"/>
      </top>
      <bottom style="thin">
        <color indexed="64"/>
      </bottom>
      <diagonal/>
    </border>
    <border>
      <left/>
      <right/>
      <top style="thin">
        <color indexed="64"/>
      </top>
      <bottom style="thick">
        <color theme="0"/>
      </bottom>
      <diagonal/>
    </border>
    <border>
      <left style="thick">
        <color theme="0"/>
      </left>
      <right/>
      <top style="thick">
        <color theme="0"/>
      </top>
      <bottom/>
      <diagonal/>
    </border>
    <border>
      <left/>
      <right style="thin">
        <color indexed="64"/>
      </right>
      <top style="thick">
        <color theme="0"/>
      </top>
      <bottom style="thick">
        <color theme="0"/>
      </bottom>
      <diagonal/>
    </border>
    <border>
      <left style="thick">
        <color theme="0"/>
      </left>
      <right style="thin">
        <color indexed="64"/>
      </right>
      <top style="thick">
        <color theme="0"/>
      </top>
      <bottom/>
      <diagonal/>
    </border>
    <border>
      <left/>
      <right/>
      <top style="thick">
        <color theme="0"/>
      </top>
      <bottom/>
      <diagonal/>
    </border>
    <border>
      <left/>
      <right style="thick">
        <color theme="0"/>
      </right>
      <top/>
      <bottom style="thick">
        <color theme="0"/>
      </bottom>
      <diagonal/>
    </border>
  </borders>
  <cellStyleXfs count="11">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2" fillId="0" borderId="0"/>
    <xf numFmtId="9" fontId="3"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4" fontId="3" fillId="0" borderId="0" applyFont="0" applyFill="0" applyBorder="0" applyAlignment="0" applyProtection="0"/>
    <xf numFmtId="0" fontId="39" fillId="0" borderId="0" applyNumberFormat="0" applyFill="0" applyBorder="0" applyAlignment="0" applyProtection="0"/>
  </cellStyleXfs>
  <cellXfs count="731">
    <xf numFmtId="0" fontId="0" fillId="0" borderId="0" xfId="0"/>
    <xf numFmtId="0" fontId="4" fillId="2" borderId="1" xfId="0" applyFont="1" applyFill="1" applyBorder="1" applyAlignment="1">
      <alignment vertical="center" wrapText="1"/>
    </xf>
    <xf numFmtId="0" fontId="6" fillId="2" borderId="5" xfId="0" applyFont="1" applyFill="1" applyBorder="1" applyAlignment="1">
      <alignment horizontal="center" vertical="center"/>
    </xf>
    <xf numFmtId="0" fontId="5" fillId="0" borderId="0" xfId="0" applyFont="1"/>
    <xf numFmtId="0" fontId="5"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3" fontId="8" fillId="2" borderId="5" xfId="0" applyNumberFormat="1" applyFont="1" applyFill="1" applyBorder="1" applyAlignment="1">
      <alignment horizontal="left" vertical="center" wrapText="1"/>
    </xf>
    <xf numFmtId="3" fontId="8" fillId="2" borderId="5" xfId="0" applyNumberFormat="1" applyFont="1" applyFill="1" applyBorder="1" applyAlignment="1">
      <alignment horizontal="center" vertical="center"/>
    </xf>
    <xf numFmtId="3" fontId="8" fillId="2" borderId="5" xfId="1" applyNumberFormat="1" applyFont="1" applyFill="1" applyBorder="1" applyAlignment="1">
      <alignment horizontal="center" vertical="center"/>
    </xf>
    <xf numFmtId="3" fontId="8" fillId="2" borderId="5" xfId="0" applyNumberFormat="1" applyFont="1" applyFill="1" applyBorder="1" applyAlignment="1">
      <alignment horizontal="right" vertical="center" wrapText="1"/>
    </xf>
    <xf numFmtId="3" fontId="8" fillId="2" borderId="5" xfId="1" applyNumberFormat="1" applyFont="1" applyFill="1" applyBorder="1" applyAlignment="1">
      <alignment horizontal="right" vertical="center" wrapText="1"/>
    </xf>
    <xf numFmtId="3" fontId="8" fillId="2" borderId="5" xfId="1"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0" fontId="0" fillId="0" borderId="5" xfId="0" applyBorder="1"/>
    <xf numFmtId="0" fontId="8" fillId="2" borderId="5" xfId="0" applyNumberFormat="1" applyFont="1" applyFill="1" applyBorder="1" applyAlignment="1">
      <alignment horizontal="center" vertical="center"/>
    </xf>
    <xf numFmtId="0" fontId="4" fillId="2" borderId="2" xfId="0" applyFont="1" applyFill="1" applyBorder="1" applyAlignment="1">
      <alignment horizontal="center" vertical="center"/>
    </xf>
    <xf numFmtId="3" fontId="9" fillId="2" borderId="5" xfId="0" applyNumberFormat="1" applyFont="1" applyFill="1" applyBorder="1" applyAlignment="1">
      <alignment horizontal="center" vertical="center" wrapText="1"/>
    </xf>
    <xf numFmtId="3" fontId="9" fillId="2" borderId="5" xfId="0" applyNumberFormat="1" applyFont="1" applyFill="1" applyBorder="1" applyAlignment="1">
      <alignment horizontal="left" vertical="center" wrapText="1"/>
    </xf>
    <xf numFmtId="3" fontId="9" fillId="2" borderId="5" xfId="0" applyNumberFormat="1" applyFont="1" applyFill="1" applyBorder="1" applyAlignment="1">
      <alignment horizontal="center" vertical="center"/>
    </xf>
    <xf numFmtId="3" fontId="9" fillId="2" borderId="5" xfId="1" applyNumberFormat="1" applyFont="1" applyFill="1" applyBorder="1" applyAlignment="1">
      <alignment horizontal="right" vertical="center" wrapText="1"/>
    </xf>
    <xf numFmtId="3" fontId="9" fillId="2" borderId="5" xfId="1" applyNumberFormat="1" applyFont="1" applyFill="1" applyBorder="1" applyAlignment="1">
      <alignment horizontal="center" vertical="center" wrapText="1"/>
    </xf>
    <xf numFmtId="3" fontId="9" fillId="2" borderId="5" xfId="1" applyNumberFormat="1" applyFont="1" applyFill="1" applyBorder="1" applyAlignment="1">
      <alignment horizontal="center" vertical="center"/>
    </xf>
    <xf numFmtId="0" fontId="9"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3" fontId="4" fillId="2" borderId="5" xfId="0"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xf>
    <xf numFmtId="3" fontId="4" fillId="2" borderId="5" xfId="1" applyNumberFormat="1" applyFont="1" applyFill="1" applyBorder="1" applyAlignment="1">
      <alignment horizontal="right" vertical="center" wrapText="1"/>
    </xf>
    <xf numFmtId="3" fontId="4" fillId="2" borderId="5" xfId="0" applyNumberFormat="1" applyFont="1" applyFill="1" applyBorder="1" applyAlignment="1">
      <alignment horizontal="left" vertical="center" wrapText="1"/>
    </xf>
    <xf numFmtId="3" fontId="4" fillId="2" borderId="5" xfId="1"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3" fontId="9" fillId="2" borderId="5" xfId="0" applyNumberFormat="1" applyFont="1" applyFill="1" applyBorder="1" applyAlignment="1">
      <alignment horizontal="right" vertical="center" wrapText="1"/>
    </xf>
    <xf numFmtId="0" fontId="9" fillId="2" borderId="5" xfId="0" applyFont="1" applyFill="1" applyBorder="1" applyAlignment="1">
      <alignment vertical="center" wrapText="1"/>
    </xf>
    <xf numFmtId="3" fontId="4" fillId="2" borderId="5" xfId="0" applyNumberFormat="1" applyFont="1" applyFill="1" applyBorder="1" applyAlignment="1">
      <alignment horizontal="right" vertical="center" wrapText="1"/>
    </xf>
    <xf numFmtId="3" fontId="4" fillId="2" borderId="5" xfId="0" applyNumberFormat="1" applyFont="1" applyFill="1" applyBorder="1" applyAlignment="1" applyProtection="1">
      <alignment horizontal="center" vertical="center"/>
      <protection locked="0"/>
    </xf>
    <xf numFmtId="0" fontId="10" fillId="2" borderId="2" xfId="0" applyFont="1" applyFill="1" applyBorder="1" applyAlignment="1">
      <alignment horizontal="center" vertical="center"/>
    </xf>
    <xf numFmtId="0" fontId="0" fillId="2" borderId="0" xfId="0" applyFill="1"/>
    <xf numFmtId="1" fontId="8" fillId="2" borderId="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1" fontId="4" fillId="2" borderId="5" xfId="1" applyNumberFormat="1" applyFont="1" applyFill="1" applyBorder="1" applyAlignment="1">
      <alignment horizontal="center" vertical="center" wrapText="1"/>
    </xf>
    <xf numFmtId="0" fontId="0" fillId="0" borderId="0" xfId="0" applyAlignment="1">
      <alignment horizontal="center" vertical="center"/>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13" fillId="2" borderId="5" xfId="0" applyFont="1" applyFill="1" applyBorder="1" applyAlignment="1">
      <alignment horizontal="center" vertical="center" wrapText="1"/>
    </xf>
    <xf numFmtId="3" fontId="13" fillId="2" borderId="5" xfId="0" applyNumberFormat="1" applyFont="1" applyFill="1" applyBorder="1" applyAlignment="1">
      <alignment horizontal="center" vertical="center" wrapText="1"/>
    </xf>
    <xf numFmtId="3" fontId="13" fillId="2" borderId="5" xfId="0" applyNumberFormat="1" applyFont="1" applyFill="1" applyBorder="1" applyAlignment="1">
      <alignment horizontal="center" vertical="center"/>
    </xf>
    <xf numFmtId="3" fontId="13" fillId="2" borderId="5" xfId="1" applyNumberFormat="1" applyFont="1" applyFill="1" applyBorder="1" applyAlignment="1">
      <alignment horizontal="center" vertical="center" wrapText="1"/>
    </xf>
    <xf numFmtId="0" fontId="5" fillId="0" borderId="0" xfId="0" applyFont="1" applyAlignment="1">
      <alignment horizontal="center" vertical="center"/>
    </xf>
    <xf numFmtId="0" fontId="12" fillId="0"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3" fontId="13" fillId="2" borderId="9"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xf numFmtId="165" fontId="13" fillId="2" borderId="5" xfId="1" applyNumberFormat="1" applyFont="1" applyFill="1" applyBorder="1" applyAlignment="1">
      <alignment horizontal="center" vertical="center" wrapText="1"/>
    </xf>
    <xf numFmtId="1" fontId="13" fillId="2" borderId="5" xfId="1"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5" xfId="0" applyFont="1" applyBorder="1" applyAlignment="1">
      <alignment horizontal="center" vertical="center" wrapText="1"/>
    </xf>
    <xf numFmtId="3" fontId="14" fillId="2" borderId="5" xfId="0" applyNumberFormat="1" applyFont="1" applyFill="1" applyBorder="1" applyAlignment="1">
      <alignment horizontal="center" vertical="center" wrapText="1"/>
    </xf>
    <xf numFmtId="44" fontId="15" fillId="0" borderId="0" xfId="3" applyFont="1"/>
    <xf numFmtId="0" fontId="12" fillId="2" borderId="1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4" fillId="0" borderId="0" xfId="0" applyFont="1" applyAlignment="1">
      <alignment horizontal="center" vertical="center"/>
    </xf>
    <xf numFmtId="0" fontId="5" fillId="2"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3" fontId="5"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xf>
    <xf numFmtId="0" fontId="0" fillId="2" borderId="0" xfId="0" applyFill="1" applyBorder="1"/>
    <xf numFmtId="3" fontId="5" fillId="2" borderId="5" xfId="1" applyNumberFormat="1" applyFont="1" applyFill="1" applyBorder="1" applyAlignment="1">
      <alignment horizontal="center" vertical="center" wrapText="1"/>
    </xf>
    <xf numFmtId="0" fontId="5" fillId="0" borderId="0" xfId="0" applyFont="1" applyBorder="1"/>
    <xf numFmtId="0" fontId="5" fillId="0" borderId="0" xfId="0" applyFont="1" applyAlignment="1">
      <alignment horizontal="center"/>
    </xf>
    <xf numFmtId="0" fontId="12" fillId="2" borderId="9" xfId="0" applyFont="1" applyFill="1" applyBorder="1" applyAlignment="1">
      <alignment horizontal="center" vertical="center"/>
    </xf>
    <xf numFmtId="0" fontId="12" fillId="0" borderId="0" xfId="0" applyFont="1" applyFill="1" applyBorder="1" applyAlignment="1">
      <alignment horizontal="center" vertical="center" wrapText="1"/>
    </xf>
    <xf numFmtId="3" fontId="9" fillId="3" borderId="5" xfId="0" applyNumberFormat="1" applyFont="1" applyFill="1" applyBorder="1" applyAlignment="1">
      <alignment horizontal="center" vertical="center" wrapText="1"/>
    </xf>
    <xf numFmtId="3" fontId="9" fillId="3" borderId="5" xfId="1" applyNumberFormat="1" applyFont="1" applyFill="1" applyBorder="1" applyAlignment="1" applyProtection="1">
      <alignment horizontal="center" vertical="center" wrapText="1"/>
    </xf>
    <xf numFmtId="41" fontId="13" fillId="2" borderId="5" xfId="2" applyFont="1" applyFill="1" applyBorder="1" applyAlignment="1">
      <alignment horizontal="center" vertical="center" wrapText="1"/>
    </xf>
    <xf numFmtId="0" fontId="5" fillId="2" borderId="0" xfId="0" applyFont="1" applyFill="1" applyAlignment="1">
      <alignment horizontal="center"/>
    </xf>
    <xf numFmtId="0" fontId="17" fillId="2" borderId="5" xfId="0" applyFont="1" applyFill="1" applyBorder="1" applyAlignment="1">
      <alignment horizontal="center" vertical="center"/>
    </xf>
    <xf numFmtId="3" fontId="13" fillId="2" borderId="5" xfId="0" applyNumberFormat="1" applyFont="1" applyFill="1" applyBorder="1" applyAlignment="1">
      <alignment horizontal="justify" vertical="center" wrapText="1"/>
    </xf>
    <xf numFmtId="3" fontId="13" fillId="2" borderId="5" xfId="1" applyNumberFormat="1" applyFont="1" applyFill="1" applyBorder="1" applyAlignment="1">
      <alignment horizontal="right" vertical="center" wrapText="1"/>
    </xf>
    <xf numFmtId="0" fontId="0" fillId="0" borderId="0" xfId="0" applyAlignment="1">
      <alignment horizontal="center"/>
    </xf>
    <xf numFmtId="0" fontId="4" fillId="0" borderId="0" xfId="0" applyFont="1" applyAlignment="1">
      <alignment horizontal="center"/>
    </xf>
    <xf numFmtId="0" fontId="17" fillId="0" borderId="5" xfId="0" applyFont="1" applyBorder="1" applyAlignment="1">
      <alignment horizontal="center" vertical="center"/>
    </xf>
    <xf numFmtId="0" fontId="13" fillId="2" borderId="5" xfId="0" applyFont="1" applyFill="1" applyBorder="1" applyAlignment="1">
      <alignment vertical="center" wrapText="1"/>
    </xf>
    <xf numFmtId="3" fontId="13" fillId="2" borderId="5" xfId="0" applyNumberFormat="1" applyFont="1" applyFill="1" applyBorder="1" applyAlignment="1">
      <alignment horizontal="left" vertical="center" wrapText="1" indent="1"/>
    </xf>
    <xf numFmtId="165" fontId="13" fillId="2" borderId="5" xfId="1" applyNumberFormat="1" applyFont="1" applyFill="1" applyBorder="1" applyAlignment="1">
      <alignment horizontal="right" vertical="center" wrapText="1"/>
    </xf>
    <xf numFmtId="0" fontId="17" fillId="0" borderId="0" xfId="0" applyFont="1" applyBorder="1" applyAlignment="1">
      <alignment horizontal="center" vertical="center"/>
    </xf>
    <xf numFmtId="0" fontId="17" fillId="0" borderId="0" xfId="0" applyFont="1" applyFill="1" applyBorder="1" applyAlignment="1">
      <alignment horizontal="center" vertical="center"/>
    </xf>
    <xf numFmtId="0" fontId="13" fillId="2" borderId="0" xfId="0" applyFont="1" applyFill="1" applyBorder="1" applyAlignment="1">
      <alignment vertical="center" wrapText="1"/>
    </xf>
    <xf numFmtId="3" fontId="13" fillId="2" borderId="0" xfId="0" applyNumberFormat="1" applyFont="1" applyFill="1" applyBorder="1" applyAlignment="1">
      <alignment horizontal="left" vertical="center" wrapText="1" indent="1"/>
    </xf>
    <xf numFmtId="0" fontId="13" fillId="2" borderId="0" xfId="0" applyFont="1" applyFill="1" applyBorder="1" applyAlignment="1">
      <alignment horizontal="center" vertical="center" wrapText="1"/>
    </xf>
    <xf numFmtId="165" fontId="13" fillId="2" borderId="0" xfId="1" applyNumberFormat="1" applyFont="1" applyFill="1" applyBorder="1" applyAlignment="1">
      <alignment horizontal="right" vertical="center" wrapText="1"/>
    </xf>
    <xf numFmtId="1" fontId="13" fillId="2" borderId="0" xfId="1" applyNumberFormat="1"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0" fontId="5" fillId="0" borderId="5" xfId="0" applyFont="1" applyBorder="1" applyAlignment="1">
      <alignment horizontal="center" vertical="center"/>
    </xf>
    <xf numFmtId="0" fontId="17" fillId="0" borderId="5" xfId="0" applyFont="1" applyFill="1" applyBorder="1" applyAlignment="1">
      <alignment horizontal="center" vertical="center"/>
    </xf>
    <xf numFmtId="3" fontId="13" fillId="2" borderId="5" xfId="1" applyNumberFormat="1" applyFont="1" applyFill="1" applyBorder="1" applyAlignment="1">
      <alignment horizontal="left" vertical="center" wrapText="1"/>
    </xf>
    <xf numFmtId="3" fontId="13" fillId="2" borderId="5" xfId="0" applyNumberFormat="1" applyFont="1" applyFill="1" applyBorder="1" applyAlignment="1">
      <alignment horizontal="left" vertical="center" wrapText="1"/>
    </xf>
    <xf numFmtId="0" fontId="18" fillId="2" borderId="5" xfId="0" applyFont="1" applyFill="1" applyBorder="1" applyAlignment="1">
      <alignment vertical="center" wrapText="1"/>
    </xf>
    <xf numFmtId="3" fontId="18" fillId="2" borderId="5" xfId="0" applyNumberFormat="1" applyFont="1" applyFill="1" applyBorder="1" applyAlignment="1">
      <alignment horizontal="left" vertical="center" wrapText="1"/>
    </xf>
    <xf numFmtId="3" fontId="18" fillId="2" borderId="5" xfId="0" applyNumberFormat="1" applyFont="1" applyFill="1" applyBorder="1" applyAlignment="1">
      <alignment horizontal="center" vertical="center" wrapText="1"/>
    </xf>
    <xf numFmtId="3" fontId="18" fillId="2" borderId="5" xfId="0" applyNumberFormat="1" applyFont="1" applyFill="1" applyBorder="1" applyAlignment="1">
      <alignment horizontal="right" vertical="center" wrapText="1"/>
    </xf>
    <xf numFmtId="0" fontId="5" fillId="0" borderId="5" xfId="0" applyFont="1" applyFill="1" applyBorder="1" applyAlignment="1">
      <alignment horizontal="center" vertical="center"/>
    </xf>
    <xf numFmtId="0" fontId="5" fillId="0" borderId="0" xfId="0" applyFont="1" applyBorder="1" applyAlignment="1">
      <alignment horizontal="center"/>
    </xf>
    <xf numFmtId="0" fontId="18" fillId="4" borderId="5" xfId="0" applyFont="1" applyFill="1" applyBorder="1" applyAlignment="1">
      <alignment vertical="center" wrapText="1"/>
    </xf>
    <xf numFmtId="3" fontId="9" fillId="4" borderId="5" xfId="0" applyNumberFormat="1" applyFont="1" applyFill="1" applyBorder="1" applyAlignment="1">
      <alignment horizontal="left" vertical="center" wrapText="1" indent="1"/>
    </xf>
    <xf numFmtId="3" fontId="18" fillId="4" borderId="5" xfId="0" applyNumberFormat="1" applyFont="1" applyFill="1" applyBorder="1" applyAlignment="1">
      <alignment horizontal="center" vertical="center" wrapText="1"/>
    </xf>
    <xf numFmtId="3" fontId="9" fillId="4" borderId="5" xfId="0" applyNumberFormat="1" applyFont="1" applyFill="1" applyBorder="1" applyAlignment="1">
      <alignment horizontal="right" vertical="center"/>
    </xf>
    <xf numFmtId="3" fontId="18" fillId="4" borderId="5" xfId="1" applyNumberFormat="1" applyFont="1" applyFill="1" applyBorder="1" applyAlignment="1" applyProtection="1">
      <alignment horizontal="center" vertical="center" wrapText="1"/>
    </xf>
    <xf numFmtId="3" fontId="9" fillId="4" borderId="5" xfId="0" applyNumberFormat="1" applyFont="1" applyFill="1" applyBorder="1" applyAlignment="1">
      <alignment horizontal="center" vertical="center"/>
    </xf>
    <xf numFmtId="0" fontId="17" fillId="0" borderId="9" xfId="0" applyFont="1" applyBorder="1" applyAlignment="1">
      <alignment horizontal="center" vertical="center"/>
    </xf>
    <xf numFmtId="0" fontId="17" fillId="0" borderId="9" xfId="0" applyFont="1" applyFill="1" applyBorder="1" applyAlignment="1">
      <alignment horizontal="center" vertical="center"/>
    </xf>
    <xf numFmtId="3" fontId="13" fillId="2" borderId="9" xfId="0" applyNumberFormat="1" applyFont="1" applyFill="1" applyBorder="1" applyAlignment="1">
      <alignment horizontal="left" vertical="center" wrapText="1" indent="1"/>
    </xf>
    <xf numFmtId="3" fontId="13" fillId="2" borderId="9" xfId="1" applyNumberFormat="1" applyFont="1" applyFill="1" applyBorder="1" applyAlignment="1">
      <alignment horizontal="right" vertical="center" wrapText="1"/>
    </xf>
    <xf numFmtId="3" fontId="13" fillId="2" borderId="9" xfId="1" applyNumberFormat="1" applyFont="1" applyFill="1" applyBorder="1" applyAlignment="1">
      <alignment horizontal="center" vertical="center" wrapText="1"/>
    </xf>
    <xf numFmtId="3" fontId="14" fillId="2" borderId="5" xfId="0" applyNumberFormat="1" applyFont="1" applyFill="1" applyBorder="1" applyAlignment="1">
      <alignment horizontal="right" vertical="center" wrapText="1"/>
    </xf>
    <xf numFmtId="3" fontId="14" fillId="2" borderId="5" xfId="0" applyNumberFormat="1" applyFont="1" applyFill="1" applyBorder="1" applyAlignment="1">
      <alignment horizontal="left" vertical="center" wrapText="1"/>
    </xf>
    <xf numFmtId="0" fontId="17" fillId="0" borderId="5" xfId="0" applyFont="1" applyFill="1" applyBorder="1" applyAlignment="1">
      <alignment horizontal="center" vertical="center" wrapText="1"/>
    </xf>
    <xf numFmtId="165" fontId="9" fillId="2" borderId="5" xfId="1" applyNumberFormat="1" applyFont="1" applyFill="1" applyBorder="1" applyAlignment="1">
      <alignment horizontal="right" vertical="center" wrapText="1"/>
    </xf>
    <xf numFmtId="1" fontId="9" fillId="2" borderId="5" xfId="1" applyNumberFormat="1" applyFont="1" applyFill="1" applyBorder="1" applyAlignment="1">
      <alignment horizontal="center" vertical="center" wrapText="1"/>
    </xf>
    <xf numFmtId="0" fontId="0" fillId="0" borderId="0" xfId="0" applyBorder="1" applyAlignment="1">
      <alignment horizontal="center"/>
    </xf>
    <xf numFmtId="0" fontId="19" fillId="4" borderId="5" xfId="0" applyFont="1" applyFill="1" applyBorder="1" applyAlignment="1">
      <alignment horizontal="center" vertical="center" wrapText="1"/>
    </xf>
    <xf numFmtId="3" fontId="19" fillId="4" borderId="5" xfId="0" applyNumberFormat="1" applyFont="1" applyFill="1" applyBorder="1" applyAlignment="1">
      <alignment horizontal="center" vertical="center" wrapText="1"/>
    </xf>
    <xf numFmtId="3" fontId="19" fillId="4" borderId="5" xfId="1" applyNumberFormat="1" applyFont="1" applyFill="1" applyBorder="1" applyAlignment="1" applyProtection="1">
      <alignment horizontal="center" vertical="center" wrapText="1"/>
    </xf>
    <xf numFmtId="0" fontId="4" fillId="0" borderId="0" xfId="0" applyFont="1"/>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8" fillId="2" borderId="9" xfId="0" applyFont="1" applyFill="1" applyBorder="1" applyAlignment="1">
      <alignment horizontal="center" vertical="center" wrapText="1"/>
    </xf>
    <xf numFmtId="3" fontId="8" fillId="2" borderId="5" xfId="0" applyNumberFormat="1" applyFont="1" applyFill="1" applyBorder="1" applyAlignment="1">
      <alignment horizontal="left" vertical="center" wrapText="1" indent="1"/>
    </xf>
    <xf numFmtId="0" fontId="0" fillId="0" borderId="9" xfId="0" applyFill="1" applyBorder="1" applyAlignment="1">
      <alignment horizontal="center" vertical="center"/>
    </xf>
    <xf numFmtId="0" fontId="0" fillId="0" borderId="0" xfId="0" applyFill="1" applyBorder="1" applyAlignment="1">
      <alignment horizontal="center" vertical="center" wrapText="1"/>
    </xf>
    <xf numFmtId="0" fontId="4"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3" fontId="4" fillId="2" borderId="9" xfId="0" applyNumberFormat="1" applyFont="1" applyFill="1" applyBorder="1" applyAlignment="1">
      <alignment horizontal="center" vertical="center" wrapText="1"/>
    </xf>
    <xf numFmtId="3" fontId="4" fillId="2" borderId="9" xfId="1" applyNumberFormat="1" applyFont="1" applyFill="1" applyBorder="1" applyAlignment="1">
      <alignment horizontal="center" vertical="center" wrapText="1"/>
    </xf>
    <xf numFmtId="1" fontId="4" fillId="2" borderId="9" xfId="1" applyNumberFormat="1" applyFont="1" applyFill="1" applyBorder="1" applyAlignment="1">
      <alignment horizontal="center" vertical="center" wrapText="1"/>
    </xf>
    <xf numFmtId="0" fontId="4" fillId="0" borderId="0" xfId="0" applyFont="1" applyBorder="1" applyAlignment="1">
      <alignment horizontal="center"/>
    </xf>
    <xf numFmtId="1" fontId="8" fillId="2" borderId="5" xfId="1" applyNumberFormat="1" applyFont="1" applyFill="1" applyBorder="1" applyAlignment="1">
      <alignment horizontal="left" vertical="center" wrapText="1"/>
    </xf>
    <xf numFmtId="1" fontId="8" fillId="2" borderId="5" xfId="1" applyNumberFormat="1" applyFont="1" applyFill="1" applyBorder="1" applyAlignment="1">
      <alignment horizontal="center" vertical="center" wrapText="1"/>
    </xf>
    <xf numFmtId="3" fontId="8" fillId="2" borderId="9" xfId="0" applyNumberFormat="1" applyFont="1" applyFill="1" applyBorder="1" applyAlignment="1">
      <alignment horizontal="center" vertical="center" wrapText="1"/>
    </xf>
    <xf numFmtId="3" fontId="8" fillId="2" borderId="9" xfId="1" applyNumberFormat="1" applyFont="1" applyFill="1" applyBorder="1" applyAlignment="1">
      <alignment horizontal="right" vertical="center" wrapText="1"/>
    </xf>
    <xf numFmtId="3" fontId="8" fillId="2" borderId="9" xfId="0" applyNumberFormat="1" applyFont="1" applyFill="1" applyBorder="1" applyAlignment="1">
      <alignment horizontal="left" vertical="center" wrapText="1" indent="1"/>
    </xf>
    <xf numFmtId="0" fontId="4" fillId="0" borderId="11" xfId="0" applyFont="1" applyBorder="1" applyAlignment="1">
      <alignment horizontal="center"/>
    </xf>
    <xf numFmtId="0" fontId="0" fillId="0" borderId="9" xfId="0" applyBorder="1" applyAlignment="1">
      <alignment horizontal="center"/>
    </xf>
    <xf numFmtId="0" fontId="4" fillId="0" borderId="1" xfId="0" applyFont="1" applyBorder="1" applyAlignment="1">
      <alignment horizontal="center" vertical="center"/>
    </xf>
    <xf numFmtId="166" fontId="4" fillId="2" borderId="5" xfId="6"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3" fontId="4" fillId="2" borderId="5" xfId="1" quotePrefix="1"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1" xfId="0" applyFont="1" applyFill="1" applyBorder="1" applyAlignment="1">
      <alignment vertical="center" wrapText="1"/>
    </xf>
    <xf numFmtId="3" fontId="4" fillId="2" borderId="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1" xfId="0" applyFont="1" applyBorder="1" applyAlignment="1">
      <alignment horizontal="center" vertical="center"/>
    </xf>
    <xf numFmtId="3" fontId="4" fillId="2" borderId="11" xfId="0" applyNumberFormat="1" applyFont="1" applyFill="1" applyBorder="1" applyAlignment="1">
      <alignment horizontal="center" vertical="center"/>
    </xf>
    <xf numFmtId="3" fontId="4" fillId="2" borderId="11" xfId="1" applyNumberFormat="1" applyFont="1" applyFill="1" applyBorder="1" applyAlignment="1">
      <alignment horizontal="center" vertical="center"/>
    </xf>
    <xf numFmtId="3" fontId="4" fillId="2" borderId="11" xfId="1"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11" xfId="6" applyNumberFormat="1" applyFont="1" applyFill="1" applyBorder="1" applyAlignment="1">
      <alignment horizontal="center" vertical="center"/>
    </xf>
    <xf numFmtId="0" fontId="4" fillId="2" borderId="5" xfId="0" applyNumberFormat="1" applyFont="1" applyFill="1" applyBorder="1" applyAlignment="1">
      <alignment horizontal="center" vertical="center" wrapText="1"/>
    </xf>
    <xf numFmtId="0" fontId="4" fillId="0" borderId="9"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0" xfId="0" applyFont="1" applyFill="1" applyBorder="1" applyAlignment="1">
      <alignment horizontal="center" vertical="center"/>
    </xf>
    <xf numFmtId="3" fontId="4" fillId="2" borderId="0" xfId="1" applyNumberFormat="1" applyFont="1" applyFill="1" applyBorder="1" applyAlignment="1">
      <alignment horizontal="center" vertical="center" wrapText="1"/>
    </xf>
    <xf numFmtId="0" fontId="4" fillId="0" borderId="6" xfId="0" applyFont="1" applyBorder="1" applyAlignment="1">
      <alignment horizontal="center" vertical="center"/>
    </xf>
    <xf numFmtId="3" fontId="4" fillId="2" borderId="5" xfId="8" applyNumberFormat="1" applyFont="1" applyFill="1" applyBorder="1" applyAlignment="1">
      <alignment horizontal="center" vertical="center" wrapText="1"/>
    </xf>
    <xf numFmtId="0" fontId="4" fillId="0" borderId="5" xfId="0" applyFont="1" applyBorder="1" applyAlignment="1">
      <alignment horizontal="center"/>
    </xf>
    <xf numFmtId="0" fontId="4" fillId="0" borderId="5" xfId="0" applyFont="1" applyBorder="1" applyAlignment="1">
      <alignment horizontal="center" vertical="center" wrapText="1"/>
    </xf>
    <xf numFmtId="3" fontId="4" fillId="2" borderId="5" xfId="0" quotePrefix="1"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xf>
    <xf numFmtId="0" fontId="4" fillId="2" borderId="0" xfId="0" applyFont="1" applyFill="1" applyBorder="1" applyAlignment="1">
      <alignment vertical="center" wrapText="1"/>
    </xf>
    <xf numFmtId="0" fontId="4" fillId="0" borderId="0" xfId="0" applyFont="1" applyBorder="1"/>
    <xf numFmtId="3" fontId="4" fillId="2" borderId="5" xfId="8" applyNumberFormat="1" applyFont="1" applyFill="1" applyBorder="1" applyAlignment="1">
      <alignment horizontal="right"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0" xfId="0" applyFont="1" applyFill="1" applyBorder="1" applyAlignment="1">
      <alignment horizontal="center"/>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 fontId="5" fillId="0" borderId="0" xfId="1" applyNumberFormat="1" applyFont="1" applyFill="1" applyBorder="1" applyAlignment="1">
      <alignment horizontal="center" vertical="center" wrapText="1"/>
    </xf>
    <xf numFmtId="165" fontId="5" fillId="0" borderId="0" xfId="1"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3" fontId="5" fillId="2" borderId="9" xfId="0" applyNumberFormat="1" applyFont="1" applyFill="1" applyBorder="1" applyAlignment="1">
      <alignment horizontal="center" vertical="center" wrapText="1"/>
    </xf>
    <xf numFmtId="3" fontId="5" fillId="2" borderId="9" xfId="1"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3" fontId="5" fillId="2" borderId="11" xfId="0" applyNumberFormat="1" applyFont="1" applyFill="1" applyBorder="1" applyAlignment="1">
      <alignment horizontal="center" vertical="center" wrapText="1"/>
    </xf>
    <xf numFmtId="3" fontId="5" fillId="2" borderId="11" xfId="1" applyNumberFormat="1" applyFont="1" applyFill="1" applyBorder="1" applyAlignment="1">
      <alignment horizontal="center" vertical="center" wrapText="1"/>
    </xf>
    <xf numFmtId="3" fontId="16" fillId="2"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5" xfId="1" applyNumberFormat="1" applyFont="1" applyFill="1" applyBorder="1" applyAlignment="1">
      <alignment horizontal="center" vertical="center" wrapText="1"/>
    </xf>
    <xf numFmtId="3" fontId="5" fillId="0" borderId="5" xfId="7" applyNumberFormat="1" applyFont="1" applyFill="1" applyBorder="1" applyAlignment="1">
      <alignment horizontal="center" vertical="center" wrapText="1"/>
    </xf>
    <xf numFmtId="0" fontId="16" fillId="2" borderId="5" xfId="0" applyFont="1" applyFill="1" applyBorder="1" applyAlignment="1">
      <alignment horizontal="center" vertical="center" wrapText="1"/>
    </xf>
    <xf numFmtId="3" fontId="16" fillId="2" borderId="5" xfId="8" applyNumberFormat="1" applyFont="1" applyFill="1" applyBorder="1" applyAlignment="1">
      <alignment horizontal="center" vertical="center" wrapText="1"/>
    </xf>
    <xf numFmtId="0" fontId="22" fillId="0" borderId="0" xfId="0" applyFont="1" applyAlignment="1">
      <alignment horizontal="center"/>
    </xf>
    <xf numFmtId="0" fontId="4" fillId="0" borderId="0" xfId="0" applyFont="1" applyAlignment="1">
      <alignment vertical="center"/>
    </xf>
    <xf numFmtId="0" fontId="4" fillId="0" borderId="0" xfId="0" applyFont="1" applyBorder="1" applyAlignment="1">
      <alignment vertical="center"/>
    </xf>
    <xf numFmtId="0" fontId="0" fillId="0" borderId="0" xfId="0" applyFont="1"/>
    <xf numFmtId="3" fontId="4" fillId="2" borderId="11" xfId="4" applyNumberFormat="1" applyFont="1" applyFill="1" applyBorder="1" applyAlignment="1">
      <alignment horizontal="center" vertical="center" wrapText="1"/>
    </xf>
    <xf numFmtId="0" fontId="23" fillId="5" borderId="12" xfId="0" applyFont="1" applyFill="1" applyBorder="1" applyAlignment="1">
      <alignment horizontal="center" vertical="center" wrapText="1"/>
    </xf>
    <xf numFmtId="0" fontId="0" fillId="6" borderId="12" xfId="0" applyFont="1" applyFill="1" applyBorder="1" applyAlignment="1">
      <alignment horizontal="center" vertical="center"/>
    </xf>
    <xf numFmtId="0" fontId="0" fillId="6" borderId="12" xfId="0" applyFont="1" applyFill="1" applyBorder="1" applyAlignment="1">
      <alignment horizontal="center" vertical="center" wrapText="1"/>
    </xf>
    <xf numFmtId="3" fontId="0" fillId="6" borderId="12" xfId="0" applyNumberFormat="1" applyFont="1" applyFill="1" applyBorder="1" applyAlignment="1">
      <alignment horizontal="right" vertical="center" wrapText="1" indent="1"/>
    </xf>
    <xf numFmtId="3" fontId="11" fillId="6" borderId="12" xfId="6" applyNumberFormat="1" applyFont="1" applyFill="1" applyBorder="1" applyAlignment="1">
      <alignment horizontal="right" vertical="center" wrapText="1" indent="1"/>
    </xf>
    <xf numFmtId="3" fontId="11" fillId="6" borderId="12" xfId="6" applyNumberFormat="1" applyFont="1" applyFill="1" applyBorder="1" applyAlignment="1">
      <alignment horizontal="center" vertical="center" wrapText="1"/>
    </xf>
    <xf numFmtId="0" fontId="5" fillId="6" borderId="12"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3" fontId="11" fillId="6" borderId="13" xfId="6" applyNumberFormat="1" applyFont="1" applyFill="1" applyBorder="1" applyAlignment="1">
      <alignment horizontal="center" vertical="center" wrapText="1"/>
    </xf>
    <xf numFmtId="3" fontId="8" fillId="2" borderId="5" xfId="2" applyNumberFormat="1" applyFont="1" applyFill="1" applyBorder="1" applyAlignment="1">
      <alignment horizontal="center" vertical="center"/>
    </xf>
    <xf numFmtId="0" fontId="24" fillId="6" borderId="12" xfId="0" applyFont="1" applyFill="1" applyBorder="1" applyAlignment="1">
      <alignment horizontal="center" vertical="center" wrapText="1"/>
    </xf>
    <xf numFmtId="0" fontId="6" fillId="2" borderId="9" xfId="0" applyFont="1" applyFill="1" applyBorder="1" applyAlignment="1">
      <alignment horizontal="center" vertical="center"/>
    </xf>
    <xf numFmtId="0" fontId="7" fillId="2" borderId="9" xfId="0" applyFont="1" applyFill="1" applyBorder="1" applyAlignment="1">
      <alignment horizontal="center" vertical="center"/>
    </xf>
    <xf numFmtId="3" fontId="7" fillId="2" borderId="9" xfId="0" applyNumberFormat="1" applyFont="1" applyFill="1" applyBorder="1" applyAlignment="1">
      <alignment vertical="center"/>
    </xf>
    <xf numFmtId="3" fontId="7" fillId="2" borderId="9" xfId="0" applyNumberFormat="1" applyFont="1" applyFill="1" applyBorder="1" applyAlignment="1">
      <alignment horizontal="right" vertical="center"/>
    </xf>
    <xf numFmtId="0" fontId="4" fillId="2" borderId="14" xfId="0" applyFont="1" applyFill="1" applyBorder="1" applyAlignment="1">
      <alignment horizontal="center" vertical="center"/>
    </xf>
    <xf numFmtId="3" fontId="4" fillId="2" borderId="6" xfId="1" applyNumberFormat="1" applyFont="1" applyFill="1" applyBorder="1" applyAlignment="1">
      <alignment horizontal="center" vertical="center"/>
    </xf>
    <xf numFmtId="0" fontId="4" fillId="2" borderId="14" xfId="0" applyFont="1" applyFill="1" applyBorder="1" applyAlignment="1">
      <alignment horizontal="center" vertical="center" wrapText="1"/>
    </xf>
    <xf numFmtId="3" fontId="4" fillId="2" borderId="14" xfId="0" applyNumberFormat="1" applyFont="1" applyFill="1" applyBorder="1" applyAlignment="1">
      <alignment horizontal="center" vertical="center"/>
    </xf>
    <xf numFmtId="3" fontId="4" fillId="2" borderId="14" xfId="1" applyNumberFormat="1" applyFont="1" applyFill="1" applyBorder="1" applyAlignment="1">
      <alignment horizontal="center" vertical="center"/>
    </xf>
    <xf numFmtId="3" fontId="4" fillId="2" borderId="14" xfId="0" applyNumberFormat="1" applyFont="1" applyFill="1" applyBorder="1" applyAlignment="1">
      <alignment horizontal="right" vertical="center" wrapText="1"/>
    </xf>
    <xf numFmtId="3" fontId="4" fillId="2" borderId="14" xfId="1" applyNumberFormat="1" applyFont="1" applyFill="1" applyBorder="1" applyAlignment="1">
      <alignment horizontal="right" vertical="center" wrapText="1"/>
    </xf>
    <xf numFmtId="3" fontId="4" fillId="2" borderId="14" xfId="0" applyNumberFormat="1" applyFont="1" applyFill="1" applyBorder="1" applyAlignment="1">
      <alignment horizontal="left" vertical="center" wrapText="1"/>
    </xf>
    <xf numFmtId="3" fontId="4" fillId="2" borderId="14" xfId="0" applyNumberFormat="1" applyFont="1" applyFill="1" applyBorder="1" applyAlignment="1">
      <alignment horizontal="center" vertical="center" wrapText="1"/>
    </xf>
    <xf numFmtId="0" fontId="10" fillId="2" borderId="14" xfId="0" applyFont="1" applyFill="1" applyBorder="1" applyAlignment="1">
      <alignment horizontal="center" vertical="center"/>
    </xf>
    <xf numFmtId="165" fontId="4" fillId="2" borderId="11" xfId="1" applyNumberFormat="1" applyFont="1" applyFill="1" applyBorder="1" applyAlignment="1">
      <alignment horizontal="center" vertical="center" wrapText="1"/>
    </xf>
    <xf numFmtId="0" fontId="4" fillId="6" borderId="12" xfId="0" applyFont="1" applyFill="1" applyBorder="1" applyAlignment="1">
      <alignment horizontal="center" vertical="center" wrapText="1"/>
    </xf>
    <xf numFmtId="3" fontId="4" fillId="2" borderId="6" xfId="0" applyNumberFormat="1" applyFont="1" applyFill="1" applyBorder="1" applyAlignment="1" applyProtection="1">
      <alignment horizontal="center" vertical="center" wrapText="1"/>
      <protection locked="0"/>
    </xf>
    <xf numFmtId="0" fontId="9" fillId="2" borderId="14" xfId="0" applyFont="1" applyFill="1" applyBorder="1" applyAlignment="1">
      <alignment horizontal="center" vertical="center" wrapText="1"/>
    </xf>
    <xf numFmtId="3" fontId="9" fillId="2" borderId="14" xfId="0" applyNumberFormat="1" applyFont="1" applyFill="1" applyBorder="1" applyAlignment="1">
      <alignment horizontal="center" vertical="center" wrapText="1"/>
    </xf>
    <xf numFmtId="3" fontId="9" fillId="2" borderId="14" xfId="1" applyNumberFormat="1" applyFont="1" applyFill="1" applyBorder="1" applyAlignment="1">
      <alignment horizontal="center" vertical="center" wrapText="1"/>
    </xf>
    <xf numFmtId="3" fontId="4" fillId="6" borderId="12" xfId="6" applyNumberFormat="1" applyFont="1" applyFill="1" applyBorder="1" applyAlignment="1">
      <alignment horizontal="center" vertical="center" wrapText="1"/>
    </xf>
    <xf numFmtId="165" fontId="10" fillId="6" borderId="12" xfId="1"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3" fontId="8" fillId="2" borderId="11"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wrapText="1"/>
    </xf>
    <xf numFmtId="3" fontId="4" fillId="6" borderId="12" xfId="0" applyNumberFormat="1" applyFont="1" applyFill="1" applyBorder="1" applyAlignment="1">
      <alignment horizontal="center" vertical="center" wrapText="1"/>
    </xf>
    <xf numFmtId="3" fontId="8" fillId="2" borderId="11" xfId="1" applyNumberFormat="1" applyFont="1" applyFill="1" applyBorder="1" applyAlignment="1">
      <alignment horizontal="center" vertical="center" wrapText="1"/>
    </xf>
    <xf numFmtId="3" fontId="8" fillId="2" borderId="11" xfId="0" applyNumberFormat="1" applyFont="1" applyFill="1" applyBorder="1" applyAlignment="1" applyProtection="1">
      <alignment horizontal="center" vertical="center" wrapText="1"/>
      <protection locked="0"/>
    </xf>
    <xf numFmtId="0" fontId="0" fillId="0" borderId="11" xfId="0" applyBorder="1"/>
    <xf numFmtId="0" fontId="10" fillId="6" borderId="12" xfId="0" applyFont="1" applyFill="1" applyBorder="1" applyAlignment="1">
      <alignment horizontal="center" vertical="center" wrapText="1"/>
    </xf>
    <xf numFmtId="3" fontId="10" fillId="6" borderId="12" xfId="0" applyNumberFormat="1" applyFont="1" applyFill="1" applyBorder="1" applyAlignment="1">
      <alignment horizontal="center" vertical="center" wrapText="1"/>
    </xf>
    <xf numFmtId="3" fontId="10" fillId="6" borderId="12" xfId="1"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2" borderId="5" xfId="0" applyFont="1" applyFill="1" applyBorder="1" applyAlignment="1">
      <alignment vertical="center" wrapText="1"/>
    </xf>
    <xf numFmtId="49" fontId="4" fillId="6" borderId="12" xfId="1" applyNumberFormat="1" applyFont="1" applyFill="1" applyBorder="1" applyAlignment="1">
      <alignment horizontal="center" vertical="center" wrapText="1"/>
    </xf>
    <xf numFmtId="4" fontId="4" fillId="6" borderId="12" xfId="1" applyNumberFormat="1" applyFont="1" applyFill="1" applyBorder="1" applyAlignment="1">
      <alignment horizontal="center" vertical="center" wrapText="1"/>
    </xf>
    <xf numFmtId="3" fontId="17" fillId="6" borderId="12" xfId="0" applyNumberFormat="1" applyFont="1" applyFill="1" applyBorder="1" applyAlignment="1">
      <alignment horizontal="center" vertical="center" wrapText="1"/>
    </xf>
    <xf numFmtId="0" fontId="0" fillId="0" borderId="14" xfId="0" applyBorder="1" applyAlignment="1">
      <alignment horizontal="center" vertical="center"/>
    </xf>
    <xf numFmtId="0" fontId="23" fillId="5" borderId="16" xfId="0" applyFont="1" applyFill="1" applyBorder="1" applyAlignment="1">
      <alignment horizontal="center" vertical="center" wrapText="1"/>
    </xf>
    <xf numFmtId="3" fontId="4" fillId="6" borderId="12" xfId="0" applyNumberFormat="1" applyFont="1" applyFill="1" applyBorder="1" applyAlignment="1">
      <alignment horizontal="center" vertical="center" wrapText="1"/>
    </xf>
    <xf numFmtId="3" fontId="0" fillId="6" borderId="12" xfId="0" applyNumberFormat="1" applyFont="1" applyFill="1" applyBorder="1" applyAlignment="1">
      <alignment horizontal="center" vertical="center" wrapText="1"/>
    </xf>
    <xf numFmtId="0" fontId="12" fillId="2" borderId="14" xfId="0" applyFont="1" applyFill="1" applyBorder="1" applyAlignment="1">
      <alignment horizontal="center" vertical="center" wrapText="1"/>
    </xf>
    <xf numFmtId="3" fontId="13" fillId="2" borderId="11" xfId="0" applyNumberFormat="1" applyFont="1" applyFill="1" applyBorder="1" applyAlignment="1">
      <alignment horizontal="center" vertical="center" wrapText="1"/>
    </xf>
    <xf numFmtId="3" fontId="13" fillId="2" borderId="11" xfId="1" applyNumberFormat="1" applyFont="1" applyFill="1" applyBorder="1" applyAlignment="1">
      <alignment horizontal="center" vertical="center" wrapText="1"/>
    </xf>
    <xf numFmtId="0" fontId="0" fillId="0" borderId="0" xfId="0" applyFill="1"/>
    <xf numFmtId="0" fontId="5" fillId="0" borderId="12" xfId="0" applyFont="1" applyFill="1" applyBorder="1" applyAlignment="1">
      <alignment horizontal="center"/>
    </xf>
    <xf numFmtId="0" fontId="0" fillId="0" borderId="0" xfId="0" applyFill="1" applyBorder="1"/>
    <xf numFmtId="0" fontId="0" fillId="0" borderId="0" xfId="0"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Border="1" applyAlignment="1">
      <alignment horizontal="center"/>
    </xf>
    <xf numFmtId="0" fontId="0" fillId="0" borderId="0" xfId="0" applyFill="1" applyBorder="1" applyAlignment="1">
      <alignment horizontal="center"/>
    </xf>
    <xf numFmtId="0" fontId="5" fillId="0" borderId="0" xfId="0" applyFont="1" applyFill="1" applyBorder="1"/>
    <xf numFmtId="0" fontId="5" fillId="0" borderId="0" xfId="0" applyFont="1" applyFill="1"/>
    <xf numFmtId="0" fontId="0" fillId="0" borderId="5" xfId="0" applyFill="1" applyBorder="1"/>
    <xf numFmtId="0" fontId="0" fillId="6" borderId="17" xfId="0" applyFont="1" applyFill="1" applyBorder="1" applyAlignment="1">
      <alignment horizontal="center" vertical="center"/>
    </xf>
    <xf numFmtId="0" fontId="6" fillId="6" borderId="17"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2" borderId="11"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1" xfId="0" applyFont="1" applyFill="1" applyBorder="1" applyAlignment="1">
      <alignment horizontal="center" vertical="center"/>
    </xf>
    <xf numFmtId="49" fontId="9" fillId="2" borderId="11" xfId="0" applyNumberFormat="1" applyFont="1" applyFill="1" applyBorder="1" applyAlignment="1">
      <alignment horizontal="center" vertical="center"/>
    </xf>
    <xf numFmtId="3" fontId="9" fillId="2" borderId="11" xfId="0" applyNumberFormat="1" applyFont="1" applyFill="1" applyBorder="1" applyAlignment="1">
      <alignment horizontal="right" vertical="center" wrapText="1"/>
    </xf>
    <xf numFmtId="0" fontId="9" fillId="2" borderId="11" xfId="0" applyFont="1" applyFill="1" applyBorder="1" applyAlignment="1">
      <alignment horizontal="left" vertical="center" wrapText="1"/>
    </xf>
    <xf numFmtId="3" fontId="9" fillId="2" borderId="11" xfId="0" applyNumberFormat="1"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3" fontId="11" fillId="6" borderId="12" xfId="1" applyNumberFormat="1" applyFont="1" applyFill="1" applyBorder="1" applyAlignment="1">
      <alignment horizontal="center" vertical="center" wrapText="1"/>
    </xf>
    <xf numFmtId="3" fontId="11" fillId="6" borderId="12" xfId="0" applyNumberFormat="1" applyFont="1" applyFill="1" applyBorder="1" applyAlignment="1" applyProtection="1">
      <alignment horizontal="center" vertical="center" wrapText="1"/>
      <protection locked="0"/>
    </xf>
    <xf numFmtId="3" fontId="11" fillId="6" borderId="12" xfId="0" applyNumberFormat="1" applyFont="1" applyFill="1" applyBorder="1" applyAlignment="1">
      <alignment horizontal="right" vertical="center" wrapText="1" indent="1"/>
    </xf>
    <xf numFmtId="3" fontId="11" fillId="6" borderId="12" xfId="1" applyNumberFormat="1" applyFont="1" applyFill="1" applyBorder="1" applyAlignment="1">
      <alignment horizontal="right" vertical="center" wrapText="1" indent="1"/>
    </xf>
    <xf numFmtId="165" fontId="11" fillId="6" borderId="12" xfId="1" applyNumberFormat="1" applyFont="1" applyFill="1" applyBorder="1" applyAlignment="1">
      <alignment horizontal="right" vertical="center" wrapText="1" indent="1"/>
    </xf>
    <xf numFmtId="1" fontId="11" fillId="6" borderId="12" xfId="1" applyNumberFormat="1" applyFont="1" applyFill="1" applyBorder="1" applyAlignment="1">
      <alignment horizontal="center" vertical="center" wrapText="1"/>
    </xf>
    <xf numFmtId="3" fontId="11" fillId="6" borderId="12" xfId="2" applyNumberFormat="1" applyFont="1" applyFill="1" applyBorder="1" applyAlignment="1">
      <alignment horizontal="right" vertical="center" wrapText="1" indent="1"/>
    </xf>
    <xf numFmtId="3" fontId="11" fillId="6" borderId="12" xfId="0" applyNumberFormat="1" applyFont="1" applyFill="1" applyBorder="1" applyAlignment="1">
      <alignment horizontal="center" vertical="center" wrapText="1"/>
    </xf>
    <xf numFmtId="3" fontId="11" fillId="6" borderId="12" xfId="6" applyNumberFormat="1" applyFont="1" applyFill="1" applyBorder="1" applyAlignment="1">
      <alignment horizontal="right" vertical="center" indent="1"/>
    </xf>
    <xf numFmtId="3" fontId="11" fillId="6" borderId="12" xfId="0" applyNumberFormat="1" applyFont="1" applyFill="1" applyBorder="1" applyAlignment="1">
      <alignment horizontal="center" vertical="center"/>
    </xf>
    <xf numFmtId="166" fontId="11" fillId="6" borderId="12" xfId="6" applyNumberFormat="1" applyFont="1" applyFill="1" applyBorder="1" applyAlignment="1">
      <alignment horizontal="center" vertical="center" wrapText="1"/>
    </xf>
    <xf numFmtId="0" fontId="11" fillId="2" borderId="14" xfId="0" applyFont="1" applyFill="1" applyBorder="1" applyAlignment="1">
      <alignment vertical="center" wrapText="1"/>
    </xf>
    <xf numFmtId="0" fontId="11" fillId="2" borderId="0" xfId="0" applyFont="1" applyFill="1" applyBorder="1" applyAlignment="1">
      <alignment vertical="center" wrapText="1"/>
    </xf>
    <xf numFmtId="165" fontId="0" fillId="6" borderId="12" xfId="1" applyNumberFormat="1" applyFont="1" applyFill="1" applyBorder="1" applyAlignment="1">
      <alignment horizontal="right" vertical="center" wrapText="1" indent="1"/>
    </xf>
    <xf numFmtId="3" fontId="0" fillId="6" borderId="12" xfId="1" applyNumberFormat="1" applyFont="1" applyFill="1" applyBorder="1" applyAlignment="1">
      <alignment horizontal="center" vertical="center" wrapText="1"/>
    </xf>
    <xf numFmtId="0" fontId="11" fillId="6" borderId="12" xfId="0" applyFont="1" applyFill="1" applyBorder="1" applyAlignment="1">
      <alignment horizontal="center" vertical="center"/>
    </xf>
    <xf numFmtId="3" fontId="0" fillId="6" borderId="17" xfId="0" applyNumberFormat="1" applyFont="1" applyFill="1" applyBorder="1" applyAlignment="1">
      <alignment horizontal="center" vertical="center" wrapText="1"/>
    </xf>
    <xf numFmtId="0" fontId="11" fillId="6" borderId="12" xfId="0"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1" fontId="11" fillId="6" borderId="12" xfId="0" applyNumberFormat="1" applyFont="1" applyFill="1" applyBorder="1" applyAlignment="1">
      <alignment horizontal="center" vertical="center" wrapText="1"/>
    </xf>
    <xf numFmtId="0" fontId="11" fillId="2" borderId="2" xfId="0" applyFont="1" applyFill="1" applyBorder="1" applyAlignment="1">
      <alignment vertical="center" wrapText="1"/>
    </xf>
    <xf numFmtId="0" fontId="11" fillId="2" borderId="10" xfId="0" applyFont="1" applyFill="1" applyBorder="1" applyAlignment="1">
      <alignment vertical="center" wrapText="1"/>
    </xf>
    <xf numFmtId="0" fontId="0" fillId="0" borderId="0" xfId="0" applyFont="1" applyAlignment="1">
      <alignment horizontal="center" vertical="center"/>
    </xf>
    <xf numFmtId="0" fontId="11" fillId="2" borderId="8" xfId="0" applyFont="1" applyFill="1" applyBorder="1" applyAlignment="1">
      <alignment vertical="center" wrapText="1"/>
    </xf>
    <xf numFmtId="3" fontId="25" fillId="6" borderId="12" xfId="6" applyNumberFormat="1" applyFont="1" applyFill="1" applyBorder="1" applyAlignment="1">
      <alignment horizontal="center" vertical="center" wrapText="1"/>
    </xf>
    <xf numFmtId="0" fontId="23" fillId="5" borderId="16" xfId="0"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0" fontId="11" fillId="6" borderId="12" xfId="0" applyFont="1" applyFill="1" applyBorder="1" applyAlignment="1">
      <alignment horizontal="center" vertical="center" wrapText="1"/>
    </xf>
    <xf numFmtId="3" fontId="0" fillId="6" borderId="17" xfId="1" applyNumberFormat="1" applyFont="1" applyFill="1" applyBorder="1" applyAlignment="1">
      <alignment horizontal="center" vertical="center" wrapText="1"/>
    </xf>
    <xf numFmtId="0" fontId="23" fillId="5" borderId="16" xfId="0" applyFont="1" applyFill="1" applyBorder="1" applyAlignment="1">
      <alignment horizontal="center" vertical="center" wrapText="1"/>
    </xf>
    <xf numFmtId="165" fontId="11" fillId="6" borderId="12" xfId="1" applyNumberFormat="1" applyFont="1" applyFill="1" applyBorder="1" applyAlignment="1">
      <alignment horizontal="right" vertical="center" wrapText="1" indent="1"/>
    </xf>
    <xf numFmtId="0" fontId="11" fillId="6" borderId="12" xfId="0" applyFont="1" applyFill="1" applyBorder="1" applyAlignment="1">
      <alignment horizontal="center" vertical="center" wrapText="1"/>
    </xf>
    <xf numFmtId="3" fontId="11" fillId="6" borderId="12" xfId="1" applyNumberFormat="1" applyFont="1" applyFill="1" applyBorder="1" applyAlignment="1">
      <alignment horizontal="right" vertical="center" wrapText="1" indent="1"/>
    </xf>
    <xf numFmtId="3" fontId="10" fillId="6" borderId="12" xfId="0"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0" fontId="0" fillId="0" borderId="0" xfId="0" applyAlignment="1">
      <alignment horizontal="right" indent="1"/>
    </xf>
    <xf numFmtId="0" fontId="11" fillId="6" borderId="12" xfId="0" applyNumberFormat="1" applyFont="1" applyFill="1" applyBorder="1" applyAlignment="1">
      <alignment horizontal="center" vertical="center" wrapText="1"/>
    </xf>
    <xf numFmtId="3" fontId="10" fillId="6" borderId="12" xfId="0"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0" fontId="11" fillId="6" borderId="12" xfId="0" applyFont="1" applyFill="1" applyBorder="1" applyAlignment="1">
      <alignment horizontal="center" vertical="center" wrapText="1"/>
    </xf>
    <xf numFmtId="0" fontId="0" fillId="6" borderId="12" xfId="0" applyFont="1" applyFill="1" applyBorder="1" applyAlignment="1">
      <alignment horizontal="center" vertical="center" wrapText="1"/>
    </xf>
    <xf numFmtId="3" fontId="0" fillId="6" borderId="12" xfId="1" applyNumberFormat="1" applyFont="1" applyFill="1" applyBorder="1" applyAlignment="1">
      <alignment horizontal="right" vertical="center" wrapText="1" indent="1"/>
    </xf>
    <xf numFmtId="3" fontId="6" fillId="6" borderId="12" xfId="0" applyNumberFormat="1" applyFont="1" applyFill="1" applyBorder="1" applyAlignment="1">
      <alignment horizontal="center" vertical="center" wrapText="1"/>
    </xf>
    <xf numFmtId="0" fontId="11" fillId="6" borderId="19" xfId="0" applyFont="1" applyFill="1" applyBorder="1" applyAlignment="1">
      <alignment horizontal="center" vertical="center" wrapText="1"/>
    </xf>
    <xf numFmtId="165" fontId="11" fillId="6" borderId="19" xfId="1" applyNumberFormat="1" applyFont="1" applyFill="1" applyBorder="1" applyAlignment="1">
      <alignment horizontal="right" vertical="center" wrapText="1" indent="1"/>
    </xf>
    <xf numFmtId="3" fontId="11" fillId="6" borderId="19" xfId="0" applyNumberFormat="1" applyFont="1" applyFill="1" applyBorder="1" applyAlignment="1">
      <alignment horizontal="center" vertical="center" wrapText="1"/>
    </xf>
    <xf numFmtId="0" fontId="11" fillId="6" borderId="19" xfId="0" applyFont="1" applyFill="1" applyBorder="1" applyAlignment="1">
      <alignment horizontal="center" vertical="center" wrapText="1"/>
    </xf>
    <xf numFmtId="1" fontId="11" fillId="6" borderId="19" xfId="1" applyNumberFormat="1" applyFont="1" applyFill="1" applyBorder="1" applyAlignment="1">
      <alignment horizontal="center" vertical="center" wrapText="1"/>
    </xf>
    <xf numFmtId="3" fontId="10" fillId="6" borderId="19" xfId="0" applyNumberFormat="1" applyFont="1" applyFill="1" applyBorder="1" applyAlignment="1">
      <alignment horizontal="center" vertical="center" wrapText="1"/>
    </xf>
    <xf numFmtId="49" fontId="11" fillId="6" borderId="12" xfId="0" applyNumberFormat="1" applyFont="1" applyFill="1" applyBorder="1" applyAlignment="1">
      <alignment horizontal="center" vertical="center" wrapText="1"/>
    </xf>
    <xf numFmtId="3" fontId="11" fillId="6" borderId="12" xfId="0" applyNumberFormat="1" applyFont="1" applyFill="1" applyBorder="1" applyAlignment="1">
      <alignment horizontal="right" vertical="center" wrapText="1" indent="1"/>
    </xf>
    <xf numFmtId="3" fontId="11" fillId="6" borderId="19" xfId="1" applyNumberFormat="1" applyFont="1" applyFill="1" applyBorder="1" applyAlignment="1">
      <alignment horizontal="center" vertical="center" wrapText="1"/>
    </xf>
    <xf numFmtId="3" fontId="11" fillId="6" borderId="19" xfId="1" applyNumberFormat="1" applyFont="1" applyFill="1" applyBorder="1" applyAlignment="1">
      <alignment horizontal="right" vertical="center" wrapText="1" indent="1"/>
    </xf>
    <xf numFmtId="0" fontId="11" fillId="6" borderId="19" xfId="0" applyNumberFormat="1" applyFont="1" applyFill="1" applyBorder="1" applyAlignment="1">
      <alignment horizontal="center" vertical="center" wrapText="1"/>
    </xf>
    <xf numFmtId="3" fontId="11" fillId="6" borderId="19" xfId="0" applyNumberFormat="1" applyFont="1" applyFill="1" applyBorder="1" applyAlignment="1">
      <alignment horizontal="right" vertical="center" wrapText="1" indent="1"/>
    </xf>
    <xf numFmtId="3" fontId="11" fillId="6" borderId="19" xfId="2" applyNumberFormat="1" applyFont="1" applyFill="1" applyBorder="1" applyAlignment="1">
      <alignment horizontal="center" vertical="center" wrapText="1"/>
    </xf>
    <xf numFmtId="0" fontId="6" fillId="0" borderId="0" xfId="0" applyFont="1" applyAlignment="1">
      <alignment horizontal="center"/>
    </xf>
    <xf numFmtId="0" fontId="26" fillId="5" borderId="16" xfId="0" applyFont="1" applyFill="1" applyBorder="1" applyAlignment="1">
      <alignment horizontal="center" vertical="center" wrapText="1"/>
    </xf>
    <xf numFmtId="0" fontId="10" fillId="6" borderId="19" xfId="0" applyFont="1" applyFill="1" applyBorder="1" applyAlignment="1">
      <alignment horizontal="center" vertical="center" wrapText="1"/>
    </xf>
    <xf numFmtId="3" fontId="11" fillId="6" borderId="19" xfId="0" applyNumberFormat="1" applyFont="1" applyFill="1" applyBorder="1" applyAlignment="1">
      <alignment horizontal="center" vertical="center" wrapText="1"/>
    </xf>
    <xf numFmtId="165" fontId="11" fillId="6" borderId="19" xfId="1" applyNumberFormat="1" applyFont="1" applyFill="1" applyBorder="1" applyAlignment="1">
      <alignment horizontal="center" vertical="center" wrapText="1"/>
    </xf>
    <xf numFmtId="49" fontId="11" fillId="6" borderId="19" xfId="0" applyNumberFormat="1" applyFont="1" applyFill="1" applyBorder="1" applyAlignment="1">
      <alignment horizontal="center" vertical="center" wrapText="1"/>
    </xf>
    <xf numFmtId="165" fontId="11" fillId="6" borderId="19" xfId="1" applyNumberFormat="1" applyFont="1" applyFill="1" applyBorder="1" applyAlignment="1">
      <alignment horizontal="right" vertical="center" indent="1"/>
    </xf>
    <xf numFmtId="1" fontId="11" fillId="6" borderId="19" xfId="0" applyNumberFormat="1" applyFont="1" applyFill="1" applyBorder="1" applyAlignment="1">
      <alignment horizontal="center" vertical="center" wrapText="1"/>
    </xf>
    <xf numFmtId="1" fontId="11" fillId="6" borderId="19" xfId="0" applyNumberFormat="1" applyFont="1" applyFill="1" applyBorder="1" applyAlignment="1">
      <alignment horizontal="center" vertical="center" wrapText="1"/>
    </xf>
    <xf numFmtId="3" fontId="11" fillId="6" borderId="19" xfId="0" quotePrefix="1" applyNumberFormat="1" applyFont="1" applyFill="1" applyBorder="1" applyAlignment="1">
      <alignment horizontal="center" vertical="center" wrapText="1"/>
    </xf>
    <xf numFmtId="3" fontId="11" fillId="6" borderId="19" xfId="0" quotePrefix="1" applyNumberFormat="1" applyFont="1" applyFill="1" applyBorder="1" applyAlignment="1">
      <alignment horizontal="right" vertical="center" wrapText="1" indent="1"/>
    </xf>
    <xf numFmtId="167" fontId="11" fillId="6" borderId="19" xfId="0" applyNumberFormat="1" applyFont="1" applyFill="1" applyBorder="1" applyAlignment="1">
      <alignment horizontal="center" vertical="center" wrapText="1"/>
    </xf>
    <xf numFmtId="3" fontId="25" fillId="6" borderId="19" xfId="0" applyNumberFormat="1" applyFont="1" applyFill="1" applyBorder="1" applyAlignment="1">
      <alignment horizontal="center" vertical="center" wrapText="1"/>
    </xf>
    <xf numFmtId="3" fontId="10" fillId="6" borderId="12" xfId="0"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165" fontId="11" fillId="6" borderId="12" xfId="1" applyNumberFormat="1" applyFont="1" applyFill="1" applyBorder="1" applyAlignment="1">
      <alignment horizontal="right" vertical="center" wrapText="1" indent="1"/>
    </xf>
    <xf numFmtId="0" fontId="11" fillId="6" borderId="12" xfId="0" applyFont="1" applyFill="1" applyBorder="1" applyAlignment="1">
      <alignment horizontal="center" vertical="center" wrapText="1"/>
    </xf>
    <xf numFmtId="3" fontId="11" fillId="6" borderId="17" xfId="0" applyNumberFormat="1" applyFont="1" applyFill="1" applyBorder="1" applyAlignment="1">
      <alignment horizontal="right" vertical="center" wrapText="1" indent="1"/>
    </xf>
    <xf numFmtId="0" fontId="11" fillId="6" borderId="19" xfId="0" applyFont="1" applyFill="1" applyBorder="1" applyAlignment="1">
      <alignment horizontal="center" vertical="center" wrapText="1"/>
    </xf>
    <xf numFmtId="49" fontId="11" fillId="6" borderId="12" xfId="0" applyNumberFormat="1" applyFont="1" applyFill="1" applyBorder="1" applyAlignment="1">
      <alignment horizontal="center" vertical="center" wrapText="1"/>
    </xf>
    <xf numFmtId="3" fontId="11" fillId="6" borderId="12" xfId="0" applyNumberFormat="1" applyFont="1" applyFill="1" applyBorder="1" applyAlignment="1">
      <alignment horizontal="right" vertical="center" wrapText="1" indent="1"/>
    </xf>
    <xf numFmtId="0" fontId="11" fillId="6" borderId="12" xfId="0"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0" fontId="11" fillId="6" borderId="19" xfId="0" applyFont="1" applyFill="1" applyBorder="1" applyAlignment="1">
      <alignment horizontal="center" vertical="center"/>
    </xf>
    <xf numFmtId="49" fontId="11" fillId="6" borderId="17" xfId="0" applyNumberFormat="1" applyFont="1" applyFill="1" applyBorder="1" applyAlignment="1">
      <alignment horizontal="center" vertical="center" wrapText="1"/>
    </xf>
    <xf numFmtId="165" fontId="11" fillId="6" borderId="17" xfId="1" applyNumberFormat="1" applyFont="1" applyFill="1" applyBorder="1" applyAlignment="1">
      <alignment horizontal="right" vertical="center" wrapText="1" indent="1"/>
    </xf>
    <xf numFmtId="3" fontId="11" fillId="6" borderId="17" xfId="0" applyNumberFormat="1" applyFont="1" applyFill="1" applyBorder="1" applyAlignment="1">
      <alignment horizontal="center" vertical="center" wrapText="1"/>
    </xf>
    <xf numFmtId="3" fontId="10" fillId="6" borderId="16" xfId="0" applyNumberFormat="1" applyFont="1" applyFill="1" applyBorder="1" applyAlignment="1">
      <alignment horizontal="center" vertical="center" wrapText="1"/>
    </xf>
    <xf numFmtId="3" fontId="11" fillId="6" borderId="12" xfId="0" applyNumberFormat="1" applyFont="1" applyFill="1" applyBorder="1" applyAlignment="1">
      <alignment vertical="center" wrapText="1"/>
    </xf>
    <xf numFmtId="165" fontId="11" fillId="6" borderId="12" xfId="1" applyNumberFormat="1" applyFont="1" applyFill="1" applyBorder="1" applyAlignment="1">
      <alignment vertical="center" wrapText="1"/>
    </xf>
    <xf numFmtId="0" fontId="23" fillId="5" borderId="16" xfId="0" applyFont="1" applyFill="1" applyBorder="1" applyAlignment="1">
      <alignment horizontal="center" vertical="center" wrapText="1"/>
    </xf>
    <xf numFmtId="3" fontId="11" fillId="6" borderId="12" xfId="1" applyNumberFormat="1" applyFont="1" applyFill="1" applyBorder="1" applyAlignment="1">
      <alignment horizontal="center" vertical="center" wrapText="1"/>
    </xf>
    <xf numFmtId="3" fontId="10" fillId="6" borderId="12" xfId="0" applyNumberFormat="1" applyFont="1" applyFill="1" applyBorder="1" applyAlignment="1">
      <alignment horizontal="center" vertical="center" wrapText="1"/>
    </xf>
    <xf numFmtId="0" fontId="11" fillId="6" borderId="16" xfId="0"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0" fontId="11" fillId="6" borderId="12" xfId="0" applyFont="1" applyFill="1" applyBorder="1" applyAlignment="1">
      <alignment horizontal="center" vertical="center" wrapText="1"/>
    </xf>
    <xf numFmtId="3" fontId="11" fillId="6" borderId="16" xfId="0" applyNumberFormat="1" applyFont="1" applyFill="1" applyBorder="1" applyAlignment="1">
      <alignment horizontal="center" vertical="center" wrapText="1"/>
    </xf>
    <xf numFmtId="3" fontId="11" fillId="6" borderId="19" xfId="0" applyNumberFormat="1" applyFont="1" applyFill="1" applyBorder="1" applyAlignment="1">
      <alignment horizontal="center" vertical="center" wrapText="1"/>
    </xf>
    <xf numFmtId="21" fontId="0" fillId="0" borderId="0" xfId="0" applyNumberFormat="1"/>
    <xf numFmtId="3" fontId="10" fillId="6" borderId="16" xfId="1" applyNumberFormat="1" applyFont="1" applyFill="1" applyBorder="1" applyAlignment="1">
      <alignment horizontal="center" vertical="center" wrapText="1"/>
    </xf>
    <xf numFmtId="3" fontId="11" fillId="6" borderId="16" xfId="1" applyNumberFormat="1" applyFont="1" applyFill="1" applyBorder="1" applyAlignment="1">
      <alignment horizontal="center" vertical="center" wrapText="1"/>
    </xf>
    <xf numFmtId="0" fontId="23" fillId="5" borderId="16" xfId="0" applyFont="1" applyFill="1" applyBorder="1" applyAlignment="1">
      <alignment horizontal="center" vertical="center" wrapText="1"/>
    </xf>
    <xf numFmtId="3" fontId="0" fillId="6" borderId="16" xfId="0" applyNumberFormat="1" applyFont="1" applyFill="1" applyBorder="1" applyAlignment="1">
      <alignment horizontal="right" vertical="center" wrapText="1" indent="1"/>
    </xf>
    <xf numFmtId="3" fontId="0" fillId="6" borderId="17" xfId="0" applyNumberFormat="1" applyFont="1" applyFill="1" applyBorder="1" applyAlignment="1">
      <alignment horizontal="right" vertical="center" wrapText="1" indent="1"/>
    </xf>
    <xf numFmtId="3" fontId="0" fillId="6" borderId="16" xfId="0" applyNumberFormat="1" applyFont="1" applyFill="1" applyBorder="1" applyAlignment="1">
      <alignment horizontal="center" vertical="center" wrapText="1"/>
    </xf>
    <xf numFmtId="3" fontId="0" fillId="6" borderId="17" xfId="0" applyNumberFormat="1"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6" borderId="17" xfId="0" applyFont="1" applyFill="1" applyBorder="1" applyAlignment="1">
      <alignment horizontal="center" vertical="center" wrapText="1"/>
    </xf>
    <xf numFmtId="3" fontId="11" fillId="6" borderId="12" xfId="1" applyNumberFormat="1" applyFont="1" applyFill="1" applyBorder="1" applyAlignment="1">
      <alignment horizontal="center" vertical="center" wrapText="1"/>
    </xf>
    <xf numFmtId="3" fontId="10" fillId="6" borderId="12" xfId="0"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0" fontId="11" fillId="6" borderId="12" xfId="0" applyFont="1" applyFill="1" applyBorder="1" applyAlignment="1">
      <alignment horizontal="center" vertical="center" wrapText="1"/>
    </xf>
    <xf numFmtId="3" fontId="11" fillId="6" borderId="17" xfId="0" applyNumberFormat="1" applyFont="1" applyFill="1" applyBorder="1" applyAlignment="1">
      <alignment horizontal="center" vertical="center" wrapText="1"/>
    </xf>
    <xf numFmtId="3" fontId="11" fillId="6" borderId="19" xfId="0" applyNumberFormat="1" applyFont="1" applyFill="1" applyBorder="1" applyAlignment="1">
      <alignment horizontal="center" vertical="center" wrapText="1"/>
    </xf>
    <xf numFmtId="3" fontId="11" fillId="6" borderId="20" xfId="0" applyNumberFormat="1" applyFont="1" applyFill="1" applyBorder="1" applyAlignment="1">
      <alignment horizontal="center" vertical="center" wrapText="1"/>
    </xf>
    <xf numFmtId="3" fontId="11" fillId="6" borderId="21" xfId="0" applyNumberFormat="1" applyFont="1" applyFill="1" applyBorder="1" applyAlignment="1">
      <alignment horizontal="center" vertical="center" wrapText="1"/>
    </xf>
    <xf numFmtId="0" fontId="0" fillId="6" borderId="12" xfId="0" applyFont="1" applyFill="1" applyBorder="1" applyAlignment="1">
      <alignment horizontal="center" vertical="center" wrapText="1"/>
    </xf>
    <xf numFmtId="3" fontId="0" fillId="6" borderId="12" xfId="0" applyNumberFormat="1" applyFont="1" applyFill="1" applyBorder="1" applyAlignment="1">
      <alignment horizontal="center" vertical="center" wrapText="1"/>
    </xf>
    <xf numFmtId="0" fontId="23" fillId="5" borderId="16"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6" borderId="17" xfId="0" applyFont="1" applyFill="1" applyBorder="1" applyAlignment="1">
      <alignment horizontal="center" vertical="center" wrapText="1"/>
    </xf>
    <xf numFmtId="3" fontId="0" fillId="6" borderId="16" xfId="0" applyNumberFormat="1" applyFont="1" applyFill="1" applyBorder="1" applyAlignment="1">
      <alignment horizontal="right" vertical="center" wrapText="1" indent="1"/>
    </xf>
    <xf numFmtId="3" fontId="0" fillId="6" borderId="17" xfId="0" applyNumberFormat="1" applyFont="1" applyFill="1" applyBorder="1" applyAlignment="1">
      <alignment horizontal="right" vertical="center" wrapText="1" indent="1"/>
    </xf>
    <xf numFmtId="3" fontId="11" fillId="6" borderId="17" xfId="6" applyNumberFormat="1" applyFont="1" applyFill="1" applyBorder="1" applyAlignment="1">
      <alignment horizontal="right" vertical="center" wrapText="1" indent="1"/>
    </xf>
    <xf numFmtId="165" fontId="11" fillId="6" borderId="12" xfId="1" applyNumberFormat="1" applyFont="1" applyFill="1" applyBorder="1" applyAlignment="1">
      <alignment horizontal="right" vertical="center" wrapText="1" indent="1"/>
    </xf>
    <xf numFmtId="0" fontId="11" fillId="6" borderId="12" xfId="0" applyFont="1" applyFill="1" applyBorder="1" applyAlignment="1">
      <alignment horizontal="center" vertical="center" wrapText="1"/>
    </xf>
    <xf numFmtId="3" fontId="11" fillId="6" borderId="12" xfId="0" applyNumberFormat="1" applyFont="1" applyFill="1" applyBorder="1" applyAlignment="1">
      <alignment horizontal="center" vertical="center"/>
    </xf>
    <xf numFmtId="3" fontId="11" fillId="6" borderId="12" xfId="1" applyNumberFormat="1" applyFont="1" applyFill="1" applyBorder="1" applyAlignment="1">
      <alignment horizontal="right" vertical="center" wrapText="1" indent="1"/>
    </xf>
    <xf numFmtId="3" fontId="10" fillId="6" borderId="12" xfId="0" applyNumberFormat="1" applyFont="1" applyFill="1" applyBorder="1" applyAlignment="1">
      <alignment horizontal="center" vertical="center" wrapText="1"/>
    </xf>
    <xf numFmtId="3" fontId="11" fillId="6" borderId="12" xfId="1"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0" fontId="11" fillId="6" borderId="19" xfId="0" applyFont="1" applyFill="1" applyBorder="1" applyAlignment="1">
      <alignment horizontal="center" vertical="center" wrapText="1"/>
    </xf>
    <xf numFmtId="0" fontId="0" fillId="6" borderId="12" xfId="0" applyFont="1" applyFill="1" applyBorder="1" applyAlignment="1">
      <alignment horizontal="center" vertical="center" wrapText="1"/>
    </xf>
    <xf numFmtId="3" fontId="0" fillId="6" borderId="12" xfId="0" applyNumberFormat="1" applyFont="1" applyFill="1" applyBorder="1" applyAlignment="1">
      <alignment horizontal="center" vertical="center" wrapText="1"/>
    </xf>
    <xf numFmtId="3" fontId="11" fillId="6" borderId="20" xfId="0" applyNumberFormat="1" applyFont="1" applyFill="1" applyBorder="1" applyAlignment="1">
      <alignment horizontal="center" vertical="center" wrapText="1"/>
    </xf>
    <xf numFmtId="3" fontId="11" fillId="6" borderId="19" xfId="0" applyNumberFormat="1" applyFont="1" applyFill="1" applyBorder="1" applyAlignment="1">
      <alignment horizontal="center" vertical="center" wrapText="1"/>
    </xf>
    <xf numFmtId="3" fontId="11" fillId="6" borderId="24" xfId="0" applyNumberFormat="1" applyFont="1" applyFill="1" applyBorder="1" applyAlignment="1">
      <alignment horizontal="center" vertical="center" wrapText="1"/>
    </xf>
    <xf numFmtId="0" fontId="0" fillId="6" borderId="15"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4" fillId="0" borderId="29" xfId="0" applyFont="1" applyBorder="1" applyAlignment="1">
      <alignment horizontal="center"/>
    </xf>
    <xf numFmtId="0" fontId="4" fillId="0" borderId="30" xfId="0" applyFont="1" applyBorder="1" applyAlignment="1">
      <alignment horizont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14" xfId="0" applyFont="1" applyFill="1" applyBorder="1" applyAlignment="1">
      <alignment horizontal="center" vertical="center"/>
    </xf>
    <xf numFmtId="0" fontId="4" fillId="2" borderId="30" xfId="0" applyFont="1" applyFill="1" applyBorder="1" applyAlignment="1">
      <alignment horizontal="center" vertical="center"/>
    </xf>
    <xf numFmtId="3" fontId="11" fillId="6" borderId="12" xfId="0" applyNumberFormat="1"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30" xfId="0" applyFont="1" applyFill="1" applyBorder="1" applyAlignment="1">
      <alignment horizontal="center" vertical="center"/>
    </xf>
    <xf numFmtId="3" fontId="4" fillId="2" borderId="11" xfId="6"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4" fillId="2" borderId="11" xfId="0" applyFont="1" applyFill="1" applyBorder="1" applyAlignment="1">
      <alignment horizontal="center" vertical="center"/>
    </xf>
    <xf numFmtId="165" fontId="4" fillId="2" borderId="0" xfId="1" applyNumberFormat="1" applyFont="1" applyFill="1" applyBorder="1" applyAlignment="1">
      <alignment horizontal="center" vertical="center" wrapText="1"/>
    </xf>
    <xf numFmtId="1" fontId="4" fillId="2" borderId="0" xfId="1" applyNumberFormat="1" applyFont="1" applyFill="1" applyBorder="1" applyAlignment="1">
      <alignment horizontal="center" vertical="center" wrapText="1"/>
    </xf>
    <xf numFmtId="3" fontId="11" fillId="6" borderId="12" xfId="6" applyNumberFormat="1" applyFont="1" applyFill="1" applyBorder="1" applyAlignment="1">
      <alignment horizontal="center" vertical="center" wrapText="1"/>
    </xf>
    <xf numFmtId="165" fontId="11" fillId="6" borderId="12" xfId="1" applyNumberFormat="1" applyFont="1" applyFill="1" applyBorder="1" applyAlignment="1">
      <alignment horizontal="center" vertical="center" wrapText="1"/>
    </xf>
    <xf numFmtId="0" fontId="23" fillId="5" borderId="16" xfId="0" applyFont="1" applyFill="1" applyBorder="1" applyAlignment="1">
      <alignment horizontal="center" vertical="center" wrapText="1"/>
    </xf>
    <xf numFmtId="3" fontId="11" fillId="6" borderId="12" xfId="1" applyNumberFormat="1" applyFont="1" applyFill="1" applyBorder="1" applyAlignment="1">
      <alignment horizontal="center" vertical="center" wrapText="1"/>
    </xf>
    <xf numFmtId="3" fontId="10" fillId="6" borderId="12" xfId="0"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0" fontId="11" fillId="6" borderId="12" xfId="0" applyFont="1" applyFill="1" applyBorder="1" applyAlignment="1">
      <alignment horizontal="center" vertical="center" wrapText="1"/>
    </xf>
    <xf numFmtId="3" fontId="11" fillId="6" borderId="12" xfId="1" applyNumberFormat="1" applyFont="1" applyFill="1" applyBorder="1" applyAlignment="1">
      <alignment horizontal="right" vertical="center" wrapText="1" indent="1"/>
    </xf>
    <xf numFmtId="0" fontId="11" fillId="6" borderId="19" xfId="0" applyFont="1" applyFill="1" applyBorder="1" applyAlignment="1">
      <alignment horizontal="center" vertical="center" wrapText="1"/>
    </xf>
    <xf numFmtId="3" fontId="11" fillId="6" borderId="19" xfId="0" applyNumberFormat="1" applyFont="1" applyFill="1" applyBorder="1" applyAlignment="1">
      <alignment horizontal="center" vertical="center" wrapText="1"/>
    </xf>
    <xf numFmtId="0" fontId="0" fillId="6" borderId="12" xfId="0" applyFont="1" applyFill="1" applyBorder="1" applyAlignment="1">
      <alignment horizontal="center" vertical="center" wrapText="1"/>
    </xf>
    <xf numFmtId="3" fontId="0" fillId="6" borderId="12" xfId="0" applyNumberFormat="1" applyFont="1" applyFill="1" applyBorder="1" applyAlignment="1">
      <alignment horizontal="center" vertical="center" wrapText="1"/>
    </xf>
    <xf numFmtId="0" fontId="10" fillId="6" borderId="12" xfId="0" applyFont="1" applyFill="1" applyBorder="1" applyAlignment="1">
      <alignment horizontal="center" vertical="center" wrapText="1"/>
    </xf>
    <xf numFmtId="3" fontId="11" fillId="6" borderId="12" xfId="0" applyNumberFormat="1" applyFont="1" applyFill="1" applyBorder="1" applyAlignment="1">
      <alignment horizontal="right" vertical="center" wrapText="1" indent="1"/>
    </xf>
    <xf numFmtId="0" fontId="1" fillId="6" borderId="17" xfId="0" applyFont="1" applyFill="1" applyBorder="1" applyAlignment="1">
      <alignment horizontal="center" vertical="center" wrapText="1"/>
    </xf>
    <xf numFmtId="0" fontId="4" fillId="0" borderId="0" xfId="0" applyFont="1" applyFill="1" applyAlignment="1">
      <alignment horizontal="center" vertical="center"/>
    </xf>
    <xf numFmtId="3" fontId="25" fillId="6" borderId="12" xfId="0" applyNumberFormat="1" applyFont="1" applyFill="1" applyBorder="1" applyAlignment="1">
      <alignment horizontal="center" vertical="center" wrapText="1"/>
    </xf>
    <xf numFmtId="49" fontId="11" fillId="6" borderId="12" xfId="0" applyNumberFormat="1" applyFont="1" applyFill="1" applyBorder="1" applyAlignment="1">
      <alignment horizontal="center" vertical="center"/>
    </xf>
    <xf numFmtId="3" fontId="4" fillId="2" borderId="11" xfId="8" applyNumberFormat="1" applyFont="1" applyFill="1" applyBorder="1" applyAlignment="1">
      <alignment horizontal="center" vertical="center" wrapText="1"/>
    </xf>
    <xf numFmtId="168" fontId="4" fillId="2" borderId="11" xfId="8" applyNumberFormat="1" applyFont="1" applyFill="1" applyBorder="1" applyAlignment="1">
      <alignment horizontal="center" vertical="center" wrapText="1"/>
    </xf>
    <xf numFmtId="3" fontId="11" fillId="6" borderId="12" xfId="8" applyNumberFormat="1" applyFont="1" applyFill="1" applyBorder="1" applyAlignment="1">
      <alignment horizontal="center" vertical="center" wrapText="1"/>
    </xf>
    <xf numFmtId="168" fontId="11" fillId="6" borderId="12" xfId="8" applyNumberFormat="1" applyFont="1" applyFill="1" applyBorder="1" applyAlignment="1">
      <alignment horizontal="center" vertical="center" wrapText="1"/>
    </xf>
    <xf numFmtId="2" fontId="4" fillId="2" borderId="0" xfId="0" applyNumberFormat="1" applyFont="1" applyFill="1" applyBorder="1" applyAlignment="1">
      <alignment horizontal="center" vertical="center" wrapText="1"/>
    </xf>
    <xf numFmtId="3" fontId="4" fillId="2" borderId="0" xfId="6" applyNumberFormat="1" applyFont="1" applyFill="1" applyBorder="1" applyAlignment="1">
      <alignment horizontal="center" vertical="center" wrapText="1"/>
    </xf>
    <xf numFmtId="3" fontId="11" fillId="6" borderId="12" xfId="8" applyNumberFormat="1" applyFont="1" applyFill="1" applyBorder="1" applyAlignment="1">
      <alignment horizontal="right" vertical="center" wrapText="1" indent="1"/>
    </xf>
    <xf numFmtId="3" fontId="11" fillId="6" borderId="12" xfId="0" applyNumberFormat="1" applyFont="1" applyFill="1" applyBorder="1" applyAlignment="1">
      <alignment horizontal="right" vertical="center" indent="1"/>
    </xf>
    <xf numFmtId="0" fontId="4" fillId="0" borderId="0" xfId="0" applyFont="1" applyFill="1" applyBorder="1" applyAlignment="1">
      <alignment vertical="center" wrapText="1"/>
    </xf>
    <xf numFmtId="3" fontId="4" fillId="2" borderId="0" xfId="0" applyNumberFormat="1" applyFont="1" applyFill="1" applyBorder="1" applyAlignment="1">
      <alignment vertical="center" wrapText="1"/>
    </xf>
    <xf numFmtId="3" fontId="4" fillId="2" borderId="11" xfId="0" quotePrefix="1" applyNumberFormat="1" applyFont="1" applyFill="1" applyBorder="1" applyAlignment="1">
      <alignment horizontal="center" vertical="center" wrapText="1"/>
    </xf>
    <xf numFmtId="1" fontId="4" fillId="2" borderId="11" xfId="1" applyNumberFormat="1" applyFont="1" applyFill="1" applyBorder="1" applyAlignment="1">
      <alignment horizontal="center" vertical="center" wrapText="1"/>
    </xf>
    <xf numFmtId="0" fontId="4" fillId="2" borderId="11" xfId="1" applyNumberFormat="1" applyFont="1" applyFill="1" applyBorder="1" applyAlignment="1">
      <alignment horizontal="center" vertical="center" wrapText="1"/>
    </xf>
    <xf numFmtId="0" fontId="4" fillId="2" borderId="11" xfId="0" quotePrefix="1"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11" fillId="6" borderId="12" xfId="0" applyFont="1" applyFill="1" applyBorder="1" applyAlignment="1">
      <alignment horizontal="right" vertical="center" indent="1"/>
    </xf>
    <xf numFmtId="2" fontId="11" fillId="6" borderId="12" xfId="0" applyNumberFormat="1" applyFont="1" applyFill="1" applyBorder="1" applyAlignment="1">
      <alignment horizontal="center" vertical="center" wrapText="1"/>
    </xf>
    <xf numFmtId="3" fontId="11" fillId="6" borderId="12" xfId="0" quotePrefix="1" applyNumberFormat="1" applyFont="1" applyFill="1" applyBorder="1" applyAlignment="1">
      <alignment horizontal="center" vertical="center" wrapText="1"/>
    </xf>
    <xf numFmtId="0" fontId="10" fillId="6" borderId="24" xfId="0" applyFont="1" applyFill="1" applyBorder="1" applyAlignment="1">
      <alignment horizontal="center" vertical="center" wrapText="1"/>
    </xf>
    <xf numFmtId="3" fontId="10" fillId="6" borderId="24" xfId="0" applyNumberFormat="1" applyFont="1" applyFill="1" applyBorder="1" applyAlignment="1">
      <alignment horizontal="center" vertical="center" wrapText="1"/>
    </xf>
    <xf numFmtId="0" fontId="4" fillId="0" borderId="30" xfId="0" applyFont="1" applyFill="1" applyBorder="1" applyAlignment="1">
      <alignment horizontal="center" vertical="center" wrapText="1"/>
    </xf>
    <xf numFmtId="0" fontId="11" fillId="6" borderId="12" xfId="0" quotePrefix="1" applyNumberFormat="1" applyFont="1" applyFill="1" applyBorder="1" applyAlignment="1">
      <alignment horizontal="center" vertical="center" wrapText="1"/>
    </xf>
    <xf numFmtId="3" fontId="11" fillId="6" borderId="12" xfId="0" quotePrefix="1" applyNumberFormat="1" applyFont="1" applyFill="1" applyBorder="1" applyAlignment="1">
      <alignment horizontal="right" vertical="center" wrapText="1" indent="1"/>
    </xf>
    <xf numFmtId="0" fontId="11" fillId="6" borderId="12" xfId="0"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3" fontId="4" fillId="2" borderId="11" xfId="1" applyNumberFormat="1" applyFont="1" applyFill="1" applyBorder="1" applyAlignment="1">
      <alignment horizontal="right" vertical="center" wrapText="1"/>
    </xf>
    <xf numFmtId="3" fontId="4" fillId="2" borderId="11" xfId="0" applyNumberFormat="1" applyFont="1" applyFill="1" applyBorder="1" applyAlignment="1">
      <alignment horizontal="left" vertical="center" wrapText="1" indent="1"/>
    </xf>
    <xf numFmtId="1" fontId="4" fillId="2" borderId="11" xfId="4" applyNumberFormat="1" applyFont="1" applyFill="1" applyBorder="1" applyAlignment="1">
      <alignment horizontal="center" vertical="center" wrapText="1"/>
    </xf>
    <xf numFmtId="1" fontId="4" fillId="2" borderId="0" xfId="4" applyNumberFormat="1" applyFont="1" applyFill="1" applyBorder="1" applyAlignment="1">
      <alignment horizontal="center" vertical="center" wrapText="1"/>
    </xf>
    <xf numFmtId="3" fontId="11" fillId="6" borderId="12" xfId="4" applyNumberFormat="1" applyFont="1" applyFill="1" applyBorder="1" applyAlignment="1">
      <alignment horizontal="center" vertical="center" wrapText="1"/>
    </xf>
    <xf numFmtId="1" fontId="11" fillId="6" borderId="12" xfId="4" applyNumberFormat="1" applyFont="1" applyFill="1" applyBorder="1" applyAlignment="1">
      <alignment horizontal="center" vertical="center" wrapText="1"/>
    </xf>
    <xf numFmtId="3" fontId="11" fillId="6" borderId="12" xfId="2" applyNumberFormat="1" applyFont="1" applyFill="1" applyBorder="1" applyAlignment="1">
      <alignment horizontal="center" vertical="center" wrapText="1"/>
    </xf>
    <xf numFmtId="0" fontId="23" fillId="5" borderId="16" xfId="0" applyFont="1" applyFill="1" applyBorder="1" applyAlignment="1">
      <alignment horizontal="center" vertical="center" wrapText="1"/>
    </xf>
    <xf numFmtId="0" fontId="11" fillId="6" borderId="12" xfId="0" applyFont="1" applyFill="1" applyBorder="1" applyAlignment="1">
      <alignment horizontal="center" vertical="center" wrapText="1"/>
    </xf>
    <xf numFmtId="3" fontId="11" fillId="6" borderId="12" xfId="1" applyNumberFormat="1" applyFont="1" applyFill="1" applyBorder="1" applyAlignment="1">
      <alignment horizontal="right" vertical="center" wrapText="1" indent="1"/>
    </xf>
    <xf numFmtId="3" fontId="11" fillId="6" borderId="12" xfId="1"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3" fontId="11" fillId="6" borderId="12" xfId="0" applyNumberFormat="1" applyFont="1" applyFill="1" applyBorder="1" applyAlignment="1">
      <alignment horizontal="right" vertical="center" wrapText="1" indent="1"/>
    </xf>
    <xf numFmtId="0" fontId="23" fillId="5" borderId="16" xfId="0" applyFont="1" applyFill="1" applyBorder="1" applyAlignment="1">
      <alignment horizontal="center" vertical="center" wrapText="1"/>
    </xf>
    <xf numFmtId="3" fontId="11" fillId="6" borderId="12" xfId="1" applyNumberFormat="1" applyFont="1" applyFill="1" applyBorder="1" applyAlignment="1">
      <alignment horizontal="center" vertical="center" wrapText="1"/>
    </xf>
    <xf numFmtId="3" fontId="10" fillId="6" borderId="12" xfId="0"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0" fontId="11" fillId="6" borderId="12" xfId="0" applyFont="1" applyFill="1" applyBorder="1" applyAlignment="1">
      <alignment horizontal="center" vertical="center" wrapText="1"/>
    </xf>
    <xf numFmtId="3" fontId="11" fillId="6" borderId="12" xfId="1" applyNumberFormat="1" applyFont="1" applyFill="1" applyBorder="1" applyAlignment="1">
      <alignment horizontal="right" vertical="center" wrapText="1" indent="1"/>
    </xf>
    <xf numFmtId="1" fontId="11" fillId="6" borderId="12" xfId="0" applyNumberFormat="1" applyFont="1" applyFill="1" applyBorder="1" applyAlignment="1">
      <alignment horizontal="center" vertical="center" wrapText="1"/>
    </xf>
    <xf numFmtId="3" fontId="0" fillId="6" borderId="12" xfId="0" applyNumberFormat="1" applyFont="1" applyFill="1" applyBorder="1" applyAlignment="1">
      <alignment horizontal="center" vertical="center" wrapText="1"/>
    </xf>
    <xf numFmtId="0" fontId="0" fillId="6" borderId="12" xfId="0" applyFont="1" applyFill="1" applyBorder="1" applyAlignment="1">
      <alignment horizontal="center" vertical="center" wrapText="1"/>
    </xf>
    <xf numFmtId="0" fontId="10" fillId="6" borderId="12" xfId="0" applyFont="1" applyFill="1" applyBorder="1" applyAlignment="1">
      <alignment horizontal="center" vertical="center" wrapText="1"/>
    </xf>
    <xf numFmtId="3" fontId="11" fillId="6" borderId="12" xfId="0" applyNumberFormat="1" applyFont="1" applyFill="1" applyBorder="1" applyAlignment="1">
      <alignment horizontal="right" vertical="center" wrapText="1" indent="1"/>
    </xf>
    <xf numFmtId="0" fontId="6" fillId="0" borderId="0" xfId="0" applyFont="1"/>
    <xf numFmtId="3" fontId="10" fillId="2" borderId="5" xfId="0" applyNumberFormat="1" applyFont="1" applyFill="1" applyBorder="1" applyAlignment="1">
      <alignment horizontal="center" vertical="center" wrapText="1"/>
    </xf>
    <xf numFmtId="0" fontId="28" fillId="5" borderId="16"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35"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11" fillId="6" borderId="12" xfId="0" applyFont="1" applyFill="1" applyBorder="1" applyAlignment="1">
      <alignment horizontal="center" vertical="center" wrapText="1"/>
    </xf>
    <xf numFmtId="3" fontId="11" fillId="6" borderId="12" xfId="1" applyNumberFormat="1" applyFont="1" applyFill="1" applyBorder="1" applyAlignment="1">
      <alignment horizontal="right" vertical="center" wrapText="1" indent="1"/>
    </xf>
    <xf numFmtId="3" fontId="10" fillId="6" borderId="12" xfId="0" applyNumberFormat="1" applyFont="1" applyFill="1" applyBorder="1" applyAlignment="1">
      <alignment horizontal="center" vertical="center" wrapText="1"/>
    </xf>
    <xf numFmtId="3" fontId="11" fillId="6" borderId="12" xfId="1"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3" fontId="0" fillId="6" borderId="12" xfId="0" applyNumberFormat="1" applyFont="1" applyFill="1" applyBorder="1" applyAlignment="1">
      <alignment horizontal="center" vertical="center" wrapText="1"/>
    </xf>
    <xf numFmtId="0" fontId="0" fillId="6" borderId="12" xfId="0" applyFont="1" applyFill="1" applyBorder="1" applyAlignment="1">
      <alignment horizontal="center" vertical="center" wrapText="1"/>
    </xf>
    <xf numFmtId="3" fontId="0" fillId="6" borderId="12" xfId="1" applyNumberFormat="1" applyFont="1" applyFill="1" applyBorder="1" applyAlignment="1">
      <alignment horizontal="right" vertical="center" wrapText="1" indent="1"/>
    </xf>
    <xf numFmtId="165" fontId="4" fillId="2" borderId="11" xfId="1" applyNumberFormat="1" applyFont="1" applyFill="1" applyBorder="1" applyAlignment="1">
      <alignment horizontal="right" vertical="center" wrapText="1"/>
    </xf>
    <xf numFmtId="3" fontId="10" fillId="2" borderId="1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3" fontId="4" fillId="2" borderId="0" xfId="8" applyNumberFormat="1" applyFont="1" applyFill="1" applyBorder="1" applyAlignment="1">
      <alignment horizontal="center" vertical="center" wrapText="1"/>
    </xf>
    <xf numFmtId="3" fontId="4" fillId="2" borderId="0" xfId="8" applyNumberFormat="1" applyFont="1" applyFill="1" applyBorder="1" applyAlignment="1">
      <alignment horizontal="right" vertical="center" wrapText="1"/>
    </xf>
    <xf numFmtId="0" fontId="10" fillId="2" borderId="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25" fillId="6"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3" fontId="11" fillId="2" borderId="11" xfId="0"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0" fontId="11" fillId="6" borderId="12" xfId="0" applyFont="1" applyFill="1" applyBorder="1" applyAlignment="1">
      <alignment vertical="center" wrapText="1"/>
    </xf>
    <xf numFmtId="41" fontId="11" fillId="2" borderId="11" xfId="2" applyFont="1" applyFill="1" applyBorder="1" applyAlignment="1">
      <alignment horizontal="center" vertical="center" wrapText="1"/>
    </xf>
    <xf numFmtId="3" fontId="4" fillId="2" borderId="15" xfId="1" applyNumberFormat="1" applyFont="1" applyFill="1" applyBorder="1" applyAlignment="1">
      <alignment horizontal="center" vertical="center" wrapText="1"/>
    </xf>
    <xf numFmtId="1" fontId="4" fillId="2" borderId="11" xfId="0" applyNumberFormat="1" applyFont="1" applyFill="1" applyBorder="1" applyAlignment="1">
      <alignment horizontal="center" vertical="center" wrapText="1"/>
    </xf>
    <xf numFmtId="3" fontId="10" fillId="2" borderId="11" xfId="1"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19" fillId="2" borderId="11" xfId="0" applyFont="1" applyFill="1" applyBorder="1" applyAlignment="1">
      <alignment horizontal="center" vertical="center" wrapText="1"/>
    </xf>
    <xf numFmtId="3" fontId="19" fillId="2" borderId="11" xfId="0" applyNumberFormat="1" applyFont="1" applyFill="1" applyBorder="1" applyAlignment="1">
      <alignment horizontal="center" vertical="center" wrapText="1"/>
    </xf>
    <xf numFmtId="0" fontId="29" fillId="6" borderId="12" xfId="0" applyFont="1" applyFill="1" applyBorder="1" applyAlignment="1">
      <alignment horizontal="center" vertical="center" wrapText="1"/>
    </xf>
    <xf numFmtId="3" fontId="29" fillId="6" borderId="12" xfId="0" applyNumberFormat="1" applyFont="1" applyFill="1" applyBorder="1" applyAlignment="1">
      <alignment horizontal="center" vertical="center" wrapText="1"/>
    </xf>
    <xf numFmtId="3" fontId="30" fillId="6" borderId="12" xfId="0" applyNumberFormat="1" applyFont="1" applyFill="1" applyBorder="1" applyAlignment="1">
      <alignment horizontal="center" vertical="center" wrapText="1"/>
    </xf>
    <xf numFmtId="0" fontId="11" fillId="6" borderId="12" xfId="0" applyNumberFormat="1" applyFont="1" applyFill="1" applyBorder="1" applyAlignment="1">
      <alignment horizontal="right" vertical="center" wrapText="1" indent="1"/>
    </xf>
    <xf numFmtId="0" fontId="23" fillId="5" borderId="16" xfId="0" applyFont="1" applyFill="1" applyBorder="1" applyAlignment="1">
      <alignment horizontal="center" vertical="center" wrapText="1"/>
    </xf>
    <xf numFmtId="3" fontId="11" fillId="6" borderId="12" xfId="1" applyNumberFormat="1" applyFont="1" applyFill="1" applyBorder="1" applyAlignment="1">
      <alignment horizontal="center" vertical="center" wrapText="1"/>
    </xf>
    <xf numFmtId="3" fontId="10" fillId="6" borderId="12" xfId="0"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0" fontId="11" fillId="6" borderId="12" xfId="0" applyFont="1" applyFill="1" applyBorder="1" applyAlignment="1">
      <alignment horizontal="center" vertical="center" wrapText="1"/>
    </xf>
    <xf numFmtId="3" fontId="11" fillId="6" borderId="12" xfId="1" applyNumberFormat="1" applyFont="1" applyFill="1" applyBorder="1" applyAlignment="1">
      <alignment horizontal="right" vertical="center" wrapText="1" indent="1"/>
    </xf>
    <xf numFmtId="165" fontId="11" fillId="6" borderId="12" xfId="1" applyNumberFormat="1" applyFont="1" applyFill="1" applyBorder="1" applyAlignment="1">
      <alignment horizontal="right" vertical="center" wrapText="1" indent="1"/>
    </xf>
    <xf numFmtId="0" fontId="11" fillId="6" borderId="19" xfId="0" applyFont="1" applyFill="1" applyBorder="1" applyAlignment="1">
      <alignment horizontal="center" vertical="center" wrapText="1"/>
    </xf>
    <xf numFmtId="3" fontId="11" fillId="6" borderId="19" xfId="0" applyNumberFormat="1" applyFont="1" applyFill="1" applyBorder="1" applyAlignment="1">
      <alignment horizontal="center" vertical="center" wrapText="1"/>
    </xf>
    <xf numFmtId="0" fontId="0" fillId="6" borderId="12" xfId="0" applyFont="1" applyFill="1" applyBorder="1" applyAlignment="1">
      <alignment horizontal="center" vertical="center" wrapText="1"/>
    </xf>
    <xf numFmtId="0" fontId="10" fillId="6" borderId="12" xfId="0" applyFont="1" applyFill="1" applyBorder="1" applyAlignment="1">
      <alignment horizontal="center" vertical="center" wrapText="1"/>
    </xf>
    <xf numFmtId="3" fontId="11" fillId="6" borderId="12" xfId="0" applyNumberFormat="1" applyFont="1" applyFill="1" applyBorder="1" applyAlignment="1">
      <alignment horizontal="right" vertical="center" wrapText="1" indent="1"/>
    </xf>
    <xf numFmtId="165" fontId="5" fillId="2" borderId="11" xfId="1" applyNumberFormat="1" applyFont="1" applyFill="1" applyBorder="1" applyAlignment="1">
      <alignment horizontal="center" vertical="center" wrapText="1"/>
    </xf>
    <xf numFmtId="3" fontId="16" fillId="6" borderId="12" xfId="0" applyNumberFormat="1" applyFont="1" applyFill="1" applyBorder="1" applyAlignment="1">
      <alignment horizontal="center" vertical="center" wrapText="1"/>
    </xf>
    <xf numFmtId="3" fontId="5" fillId="6" borderId="12" xfId="0" applyNumberFormat="1" applyFont="1" applyFill="1" applyBorder="1" applyAlignment="1">
      <alignment horizontal="center" vertical="center" wrapText="1"/>
    </xf>
    <xf numFmtId="1" fontId="0" fillId="6" borderId="12" xfId="1" applyNumberFormat="1" applyFont="1" applyFill="1" applyBorder="1" applyAlignment="1">
      <alignment horizontal="center" vertical="center" wrapText="1"/>
    </xf>
    <xf numFmtId="167" fontId="11" fillId="6" borderId="12" xfId="0" applyNumberFormat="1" applyFont="1" applyFill="1" applyBorder="1" applyAlignment="1">
      <alignment horizontal="center" vertical="center" wrapText="1"/>
    </xf>
    <xf numFmtId="0" fontId="32" fillId="6" borderId="12" xfId="0" applyFont="1" applyFill="1" applyBorder="1" applyAlignment="1">
      <alignment horizontal="center" vertical="center" wrapText="1"/>
    </xf>
    <xf numFmtId="3" fontId="32" fillId="6" borderId="12" xfId="0" applyNumberFormat="1" applyFont="1" applyFill="1" applyBorder="1" applyAlignment="1">
      <alignment horizontal="center" vertical="center" wrapText="1"/>
    </xf>
    <xf numFmtId="0" fontId="27" fillId="6" borderId="12" xfId="0" applyFont="1" applyFill="1" applyBorder="1" applyAlignment="1">
      <alignment horizontal="center" vertical="center" wrapText="1"/>
    </xf>
    <xf numFmtId="49" fontId="11" fillId="6" borderId="12" xfId="0" applyNumberFormat="1" applyFont="1" applyFill="1" applyBorder="1" applyAlignment="1">
      <alignment vertical="center" wrapText="1"/>
    </xf>
    <xf numFmtId="0" fontId="4" fillId="0" borderId="11" xfId="0" applyFont="1" applyBorder="1" applyAlignment="1">
      <alignment horizontal="center" vertical="center" wrapText="1"/>
    </xf>
    <xf numFmtId="3" fontId="4" fillId="0" borderId="11" xfId="1" applyNumberFormat="1" applyFont="1" applyFill="1" applyBorder="1" applyAlignment="1">
      <alignment horizontal="center" vertical="center" wrapText="1"/>
    </xf>
    <xf numFmtId="165" fontId="4" fillId="0" borderId="11" xfId="1"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165" fontId="11" fillId="6" borderId="12" xfId="1" applyNumberFormat="1" applyFont="1" applyFill="1" applyBorder="1" applyAlignment="1">
      <alignment horizontal="right" vertical="center" indent="1"/>
    </xf>
    <xf numFmtId="0" fontId="0" fillId="6" borderId="19" xfId="0" applyFont="1" applyFill="1" applyBorder="1" applyAlignment="1">
      <alignment horizontal="center" vertical="center" wrapText="1"/>
    </xf>
    <xf numFmtId="49" fontId="0" fillId="6" borderId="19" xfId="0" applyNumberFormat="1" applyFont="1" applyFill="1" applyBorder="1" applyAlignment="1">
      <alignment horizontal="center" vertical="center" wrapText="1"/>
    </xf>
    <xf numFmtId="165" fontId="0" fillId="6" borderId="19" xfId="1" applyNumberFormat="1" applyFont="1" applyFill="1" applyBorder="1" applyAlignment="1">
      <alignment horizontal="right" vertical="center" wrapText="1" indent="1"/>
    </xf>
    <xf numFmtId="3" fontId="6" fillId="6" borderId="19" xfId="0" applyNumberFormat="1" applyFont="1" applyFill="1" applyBorder="1" applyAlignment="1">
      <alignment horizontal="center" vertical="center" wrapText="1"/>
    </xf>
    <xf numFmtId="1" fontId="6" fillId="6" borderId="19" xfId="1" applyNumberFormat="1" applyFont="1" applyFill="1" applyBorder="1" applyAlignment="1">
      <alignment horizontal="center" vertical="center" wrapText="1"/>
    </xf>
    <xf numFmtId="3" fontId="0" fillId="6" borderId="19" xfId="0" applyNumberFormat="1" applyFont="1" applyFill="1" applyBorder="1" applyAlignment="1">
      <alignment horizontal="center" vertical="center" wrapText="1"/>
    </xf>
    <xf numFmtId="1" fontId="0" fillId="6" borderId="19" xfId="1" applyNumberFormat="1" applyFont="1" applyFill="1" applyBorder="1" applyAlignment="1">
      <alignment horizontal="center" vertical="center" wrapText="1"/>
    </xf>
    <xf numFmtId="3" fontId="3" fillId="0" borderId="0" xfId="0" applyNumberFormat="1" applyFont="1"/>
    <xf numFmtId="0" fontId="3" fillId="0" borderId="0" xfId="0" applyFont="1"/>
    <xf numFmtId="3" fontId="28" fillId="0" borderId="0" xfId="0" applyNumberFormat="1" applyFont="1" applyBorder="1" applyAlignment="1">
      <alignment horizontal="right" vertical="center"/>
    </xf>
    <xf numFmtId="3" fontId="35" fillId="5" borderId="18" xfId="0" applyNumberFormat="1" applyFont="1" applyFill="1" applyBorder="1" applyAlignment="1">
      <alignment horizontal="left" vertical="center" indent="1"/>
    </xf>
    <xf numFmtId="3" fontId="37" fillId="0" borderId="0" xfId="0" applyNumberFormat="1" applyFont="1" applyAlignment="1">
      <alignment horizontal="left" vertical="top"/>
    </xf>
    <xf numFmtId="3" fontId="38" fillId="0" borderId="18" xfId="0" applyNumberFormat="1" applyFont="1" applyFill="1" applyBorder="1" applyAlignment="1" applyProtection="1">
      <alignment horizontal="left" indent="1"/>
      <protection locked="0"/>
    </xf>
    <xf numFmtId="3" fontId="11" fillId="6" borderId="12" xfId="1" applyNumberFormat="1" applyFont="1" applyFill="1" applyBorder="1" applyAlignment="1">
      <alignment horizontal="center" vertical="center" wrapText="1"/>
    </xf>
    <xf numFmtId="3" fontId="10" fillId="6" borderId="12" xfId="0" applyNumberFormat="1" applyFont="1" applyFill="1" applyBorder="1" applyAlignment="1">
      <alignment horizontal="center" vertical="center" wrapText="1"/>
    </xf>
    <xf numFmtId="0" fontId="11" fillId="6" borderId="16" xfId="0"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0" fontId="11" fillId="6" borderId="12" xfId="0" applyFont="1" applyFill="1" applyBorder="1" applyAlignment="1">
      <alignment horizontal="center" vertical="center" wrapText="1"/>
    </xf>
    <xf numFmtId="165" fontId="11" fillId="6" borderId="12" xfId="1" applyNumberFormat="1" applyFont="1" applyFill="1" applyBorder="1" applyAlignment="1">
      <alignment horizontal="right" vertical="center" wrapText="1" indent="1"/>
    </xf>
    <xf numFmtId="3" fontId="11" fillId="6" borderId="16" xfId="0" applyNumberFormat="1" applyFont="1" applyFill="1" applyBorder="1" applyAlignment="1">
      <alignment horizontal="center" vertical="center" wrapText="1"/>
    </xf>
    <xf numFmtId="3" fontId="11" fillId="6" borderId="16" xfId="1" applyNumberFormat="1" applyFont="1" applyFill="1" applyBorder="1" applyAlignment="1">
      <alignment horizontal="center" vertical="center" wrapText="1"/>
    </xf>
    <xf numFmtId="3" fontId="39" fillId="6" borderId="18" xfId="10" applyNumberFormat="1" applyFill="1" applyBorder="1" applyAlignment="1" applyProtection="1">
      <alignment horizontal="left" indent="1"/>
      <protection locked="0"/>
    </xf>
    <xf numFmtId="165" fontId="11" fillId="6" borderId="16" xfId="1" applyNumberFormat="1" applyFont="1" applyFill="1" applyBorder="1" applyAlignment="1">
      <alignment horizontal="right" vertical="center" wrapText="1" indent="1"/>
    </xf>
    <xf numFmtId="165" fontId="10" fillId="6" borderId="16" xfId="1" applyNumberFormat="1" applyFont="1" applyFill="1" applyBorder="1" applyAlignment="1">
      <alignment horizontal="center" vertical="center" wrapText="1"/>
    </xf>
    <xf numFmtId="0" fontId="11" fillId="6" borderId="12"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6" borderId="17" xfId="0" applyFont="1" applyFill="1" applyBorder="1" applyAlignment="1">
      <alignment horizontal="center" vertical="center" wrapText="1"/>
    </xf>
    <xf numFmtId="3" fontId="0" fillId="6" borderId="16" xfId="0" applyNumberFormat="1" applyFont="1" applyFill="1" applyBorder="1" applyAlignment="1">
      <alignment horizontal="center" vertical="center" wrapText="1"/>
    </xf>
    <xf numFmtId="3" fontId="0" fillId="6" borderId="17" xfId="0" applyNumberFormat="1" applyFont="1" applyFill="1" applyBorder="1" applyAlignment="1">
      <alignment horizontal="center" vertical="center" wrapText="1"/>
    </xf>
    <xf numFmtId="3" fontId="0" fillId="6" borderId="16" xfId="0" applyNumberFormat="1" applyFont="1" applyFill="1" applyBorder="1" applyAlignment="1">
      <alignment horizontal="right" vertical="center" wrapText="1" indent="1"/>
    </xf>
    <xf numFmtId="3" fontId="0" fillId="6" borderId="17" xfId="0" applyNumberFormat="1" applyFont="1" applyFill="1" applyBorder="1" applyAlignment="1">
      <alignment horizontal="right" vertical="center" wrapText="1" indent="1"/>
    </xf>
    <xf numFmtId="3" fontId="11" fillId="6" borderId="16" xfId="6" applyNumberFormat="1" applyFont="1" applyFill="1" applyBorder="1" applyAlignment="1">
      <alignment horizontal="right" vertical="center" wrapText="1" indent="1"/>
    </xf>
    <xf numFmtId="3" fontId="11" fillId="6" borderId="17" xfId="6" applyNumberFormat="1" applyFont="1" applyFill="1" applyBorder="1" applyAlignment="1">
      <alignment horizontal="right" vertical="center" wrapText="1" indent="1"/>
    </xf>
    <xf numFmtId="0" fontId="11" fillId="6"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3" fontId="0" fillId="6" borderId="16" xfId="1"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3" fontId="0" fillId="0" borderId="0" xfId="0" applyNumberFormat="1" applyFont="1" applyFill="1" applyBorder="1" applyAlignment="1">
      <alignment horizontal="right" vertical="center" wrapText="1" indent="1"/>
    </xf>
    <xf numFmtId="3" fontId="11" fillId="0" borderId="0" xfId="6" applyNumberFormat="1" applyFont="1" applyFill="1" applyBorder="1" applyAlignment="1">
      <alignment horizontal="right" vertical="center" wrapText="1" indent="1"/>
    </xf>
    <xf numFmtId="0" fontId="6" fillId="0" borderId="0" xfId="0"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3" fontId="0" fillId="0" borderId="0" xfId="1" applyNumberFormat="1" applyFont="1" applyFill="1" applyBorder="1" applyAlignment="1">
      <alignment horizontal="center" vertical="center" wrapText="1"/>
    </xf>
    <xf numFmtId="0" fontId="0" fillId="6" borderId="16"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33" fillId="7" borderId="29" xfId="0" applyFont="1" applyFill="1" applyBorder="1" applyAlignment="1">
      <alignment horizontal="center" vertical="center"/>
    </xf>
    <xf numFmtId="0" fontId="33" fillId="7" borderId="30" xfId="0" applyFont="1" applyFill="1" applyBorder="1" applyAlignment="1">
      <alignment horizontal="center" vertical="center"/>
    </xf>
    <xf numFmtId="3" fontId="34" fillId="8" borderId="33" xfId="0" applyNumberFormat="1" applyFont="1" applyFill="1" applyBorder="1" applyAlignment="1">
      <alignment horizontal="center" vertical="center" wrapText="1"/>
    </xf>
    <xf numFmtId="3" fontId="34" fillId="8" borderId="36" xfId="0" applyNumberFormat="1" applyFont="1" applyFill="1" applyBorder="1" applyAlignment="1">
      <alignment horizontal="center" vertical="center" wrapText="1"/>
    </xf>
    <xf numFmtId="3" fontId="3" fillId="0" borderId="0" xfId="0" applyNumberFormat="1" applyFont="1" applyAlignment="1">
      <alignment horizontal="left" vertical="center" wrapText="1"/>
    </xf>
    <xf numFmtId="3" fontId="3" fillId="0" borderId="0" xfId="0" applyNumberFormat="1" applyFont="1" applyAlignment="1">
      <alignment horizontal="left" vertical="top" wrapText="1"/>
    </xf>
    <xf numFmtId="0" fontId="23" fillId="5" borderId="1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3" fontId="0" fillId="6" borderId="16" xfId="0" applyNumberFormat="1" applyFont="1" applyFill="1" applyBorder="1" applyAlignment="1">
      <alignment horizontal="right" vertical="center" wrapText="1" indent="1"/>
    </xf>
    <xf numFmtId="3" fontId="0" fillId="6" borderId="17" xfId="0" applyNumberFormat="1" applyFont="1" applyFill="1" applyBorder="1" applyAlignment="1">
      <alignment horizontal="right" vertical="center" wrapText="1" indent="1"/>
    </xf>
    <xf numFmtId="3" fontId="11" fillId="6" borderId="16" xfId="6" applyNumberFormat="1" applyFont="1" applyFill="1" applyBorder="1" applyAlignment="1">
      <alignment horizontal="right" vertical="center" wrapText="1" indent="1"/>
    </xf>
    <xf numFmtId="3" fontId="11" fillId="6" borderId="17" xfId="6" applyNumberFormat="1" applyFont="1" applyFill="1" applyBorder="1" applyAlignment="1">
      <alignment horizontal="right" vertical="center" wrapText="1" indent="1"/>
    </xf>
    <xf numFmtId="3" fontId="0" fillId="6" borderId="16" xfId="0" applyNumberFormat="1" applyFont="1" applyFill="1" applyBorder="1" applyAlignment="1">
      <alignment horizontal="center" vertical="center" wrapText="1"/>
    </xf>
    <xf numFmtId="3" fontId="0" fillId="6" borderId="17" xfId="0" applyNumberFormat="1" applyFont="1" applyFill="1" applyBorder="1" applyAlignment="1">
      <alignment horizontal="center" vertical="center" wrapText="1"/>
    </xf>
    <xf numFmtId="3" fontId="11" fillId="6" borderId="16" xfId="6" applyNumberFormat="1" applyFont="1" applyFill="1" applyBorder="1" applyAlignment="1">
      <alignment horizontal="center" vertical="center" wrapText="1"/>
    </xf>
    <xf numFmtId="3" fontId="11" fillId="6" borderId="17" xfId="6" applyNumberFormat="1"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2" xfId="0" applyFont="1" applyFill="1" applyBorder="1" applyAlignment="1">
      <alignment horizontal="center" vertical="center" wrapText="1"/>
    </xf>
    <xf numFmtId="1" fontId="11" fillId="6" borderId="12" xfId="0" applyNumberFormat="1" applyFont="1" applyFill="1" applyBorder="1" applyAlignment="1">
      <alignment horizontal="center" vertical="center" wrapText="1"/>
    </xf>
    <xf numFmtId="3" fontId="11" fillId="6" borderId="12" xfId="1" applyNumberFormat="1" applyFont="1" applyFill="1" applyBorder="1" applyAlignment="1">
      <alignment horizontal="right" vertical="center" wrapText="1" indent="1"/>
    </xf>
    <xf numFmtId="3" fontId="11" fillId="6" borderId="12" xfId="1" applyNumberFormat="1" applyFont="1" applyFill="1" applyBorder="1" applyAlignment="1">
      <alignment horizontal="center" vertical="center" wrapText="1"/>
    </xf>
    <xf numFmtId="3" fontId="10" fillId="6" borderId="12" xfId="0"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xf>
    <xf numFmtId="0" fontId="23" fillId="5" borderId="18"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37" xfId="0" applyFont="1" applyFill="1" applyBorder="1" applyAlignment="1">
      <alignment horizontal="center" vertical="center" wrapText="1"/>
    </xf>
    <xf numFmtId="0" fontId="0" fillId="6" borderId="18" xfId="0" applyFont="1" applyFill="1" applyBorder="1" applyAlignment="1">
      <alignment horizontal="center" vertical="center" wrapText="1"/>
    </xf>
    <xf numFmtId="165" fontId="11" fillId="6" borderId="12" xfId="1" applyNumberFormat="1" applyFont="1" applyFill="1" applyBorder="1" applyAlignment="1">
      <alignment horizontal="right" vertical="center" wrapText="1" inden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3" fontId="11" fillId="6" borderId="16" xfId="0" applyNumberFormat="1" applyFont="1" applyFill="1" applyBorder="1" applyAlignment="1">
      <alignment horizontal="right" vertical="center" wrapText="1" indent="1"/>
    </xf>
    <xf numFmtId="3" fontId="11" fillId="6" borderId="17" xfId="0" applyNumberFormat="1" applyFont="1" applyFill="1" applyBorder="1" applyAlignment="1">
      <alignment horizontal="right" vertical="center" wrapText="1" indent="1"/>
    </xf>
    <xf numFmtId="3" fontId="0" fillId="6" borderId="12" xfId="0" applyNumberFormat="1" applyFont="1" applyFill="1" applyBorder="1" applyAlignment="1">
      <alignment horizontal="center" vertical="center" wrapText="1"/>
    </xf>
    <xf numFmtId="0" fontId="11" fillId="6" borderId="19" xfId="0" applyFont="1" applyFill="1" applyBorder="1" applyAlignment="1">
      <alignment horizontal="center" vertical="center" wrapText="1"/>
    </xf>
    <xf numFmtId="3" fontId="11" fillId="6" borderId="16" xfId="0" applyNumberFormat="1" applyFont="1" applyFill="1" applyBorder="1" applyAlignment="1">
      <alignment horizontal="center" vertical="center" wrapText="1"/>
    </xf>
    <xf numFmtId="3" fontId="11" fillId="6" borderId="17" xfId="0" applyNumberFormat="1"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21" xfId="0" applyFont="1" applyFill="1" applyBorder="1" applyAlignment="1">
      <alignment horizontal="center" vertical="center" wrapText="1"/>
    </xf>
    <xf numFmtId="3" fontId="0" fillId="6" borderId="12" xfId="1" applyNumberFormat="1" applyFont="1" applyFill="1" applyBorder="1" applyAlignment="1">
      <alignment horizontal="right" vertical="center" wrapText="1" indent="1"/>
    </xf>
    <xf numFmtId="3" fontId="11" fillId="6" borderId="19" xfId="0" applyNumberFormat="1" applyFont="1" applyFill="1" applyBorder="1" applyAlignment="1">
      <alignment horizontal="center" vertical="center" wrapText="1"/>
    </xf>
    <xf numFmtId="1" fontId="11" fillId="6" borderId="19" xfId="0" applyNumberFormat="1" applyFont="1" applyFill="1" applyBorder="1" applyAlignment="1">
      <alignment horizontal="center" vertical="center" wrapText="1"/>
    </xf>
    <xf numFmtId="1" fontId="11" fillId="6" borderId="19" xfId="0" applyNumberFormat="1" applyFont="1" applyFill="1" applyBorder="1" applyAlignment="1">
      <alignment horizontal="center" vertical="center"/>
    </xf>
    <xf numFmtId="3" fontId="11" fillId="6" borderId="20" xfId="0" applyNumberFormat="1" applyFont="1" applyFill="1" applyBorder="1" applyAlignment="1">
      <alignment horizontal="center" vertical="center" wrapText="1"/>
    </xf>
    <xf numFmtId="3" fontId="11" fillId="6" borderId="21" xfId="0" applyNumberFormat="1" applyFont="1" applyFill="1" applyBorder="1" applyAlignment="1">
      <alignment horizontal="center" vertical="center" wrapText="1"/>
    </xf>
    <xf numFmtId="3" fontId="25" fillId="6" borderId="20" xfId="0" applyNumberFormat="1" applyFont="1" applyFill="1" applyBorder="1" applyAlignment="1">
      <alignment horizontal="center" vertical="center" wrapText="1"/>
    </xf>
    <xf numFmtId="3" fontId="25" fillId="6" borderId="21" xfId="0" applyNumberFormat="1" applyFont="1" applyFill="1" applyBorder="1" applyAlignment="1">
      <alignment horizontal="center" vertical="center" wrapText="1"/>
    </xf>
    <xf numFmtId="3" fontId="11" fillId="6" borderId="19" xfId="1" applyNumberFormat="1" applyFont="1" applyFill="1" applyBorder="1" applyAlignment="1">
      <alignment horizontal="right" vertical="center" wrapText="1" indent="1"/>
    </xf>
    <xf numFmtId="0" fontId="23" fillId="5" borderId="23"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11" fillId="6" borderId="16" xfId="0" applyNumberFormat="1" applyFont="1" applyFill="1" applyBorder="1" applyAlignment="1">
      <alignment horizontal="center" vertical="center" wrapText="1"/>
    </xf>
    <xf numFmtId="0" fontId="11" fillId="6" borderId="17" xfId="0" applyNumberFormat="1" applyFont="1" applyFill="1" applyBorder="1" applyAlignment="1">
      <alignment horizontal="center" vertical="center" wrapText="1"/>
    </xf>
    <xf numFmtId="3" fontId="4" fillId="6" borderId="25" xfId="0" applyNumberFormat="1" applyFont="1" applyFill="1" applyBorder="1" applyAlignment="1">
      <alignment horizontal="center" vertical="center" wrapText="1"/>
    </xf>
    <xf numFmtId="3" fontId="4" fillId="6" borderId="26" xfId="0" applyNumberFormat="1" applyFont="1" applyFill="1" applyBorder="1" applyAlignment="1">
      <alignment horizontal="center" vertical="center" wrapText="1"/>
    </xf>
    <xf numFmtId="0" fontId="10" fillId="6" borderId="12" xfId="0" applyFont="1" applyFill="1" applyBorder="1" applyAlignment="1">
      <alignment horizontal="center" vertical="center" wrapText="1"/>
    </xf>
    <xf numFmtId="3" fontId="4" fillId="6" borderId="16" xfId="1" applyNumberFormat="1" applyFont="1" applyFill="1" applyBorder="1" applyAlignment="1">
      <alignment horizontal="center" vertical="center" wrapText="1"/>
    </xf>
    <xf numFmtId="3" fontId="4" fillId="6" borderId="17" xfId="1" applyNumberFormat="1" applyFont="1" applyFill="1" applyBorder="1" applyAlignment="1">
      <alignment horizontal="center" vertical="center" wrapText="1"/>
    </xf>
    <xf numFmtId="3" fontId="10" fillId="6" borderId="25" xfId="0" applyNumberFormat="1" applyFont="1" applyFill="1" applyBorder="1" applyAlignment="1">
      <alignment horizontal="center" vertical="center" wrapText="1"/>
    </xf>
    <xf numFmtId="3" fontId="10" fillId="6" borderId="26" xfId="0" applyNumberFormat="1" applyFont="1" applyFill="1" applyBorder="1" applyAlignment="1">
      <alignment horizontal="center" vertical="center" wrapText="1"/>
    </xf>
    <xf numFmtId="3" fontId="11" fillId="6" borderId="26" xfId="0" applyNumberFormat="1" applyFont="1" applyFill="1" applyBorder="1" applyAlignment="1">
      <alignment horizontal="center" vertical="center" wrapText="1"/>
    </xf>
    <xf numFmtId="3" fontId="11" fillId="6" borderId="26" xfId="0" applyNumberFormat="1" applyFont="1" applyFill="1" applyBorder="1" applyAlignment="1">
      <alignment horizontal="right" vertical="center" wrapText="1" indent="1"/>
    </xf>
    <xf numFmtId="3" fontId="11" fillId="6" borderId="12" xfId="0" applyNumberFormat="1" applyFont="1" applyFill="1" applyBorder="1" applyAlignment="1">
      <alignment horizontal="right" vertical="center" wrapText="1" indent="1"/>
    </xf>
    <xf numFmtId="0" fontId="11" fillId="6" borderId="28"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4" xfId="0" applyFont="1" applyFill="1" applyBorder="1" applyAlignment="1">
      <alignment horizontal="center" vertical="center" wrapText="1"/>
    </xf>
    <xf numFmtId="3" fontId="11" fillId="6" borderId="12" xfId="6" applyNumberFormat="1" applyFont="1" applyFill="1" applyBorder="1" applyAlignment="1">
      <alignment horizontal="center" vertical="center"/>
    </xf>
    <xf numFmtId="3" fontId="11" fillId="6" borderId="12" xfId="6" applyNumberFormat="1" applyFont="1" applyFill="1" applyBorder="1" applyAlignment="1">
      <alignment horizontal="center" vertical="center" wrapText="1"/>
    </xf>
    <xf numFmtId="2" fontId="11" fillId="6" borderId="12" xfId="0" applyNumberFormat="1" applyFont="1" applyFill="1" applyBorder="1" applyAlignment="1">
      <alignment horizontal="center" vertical="center" wrapText="1"/>
    </xf>
    <xf numFmtId="3" fontId="11" fillId="6" borderId="12" xfId="8" applyNumberFormat="1" applyFont="1" applyFill="1" applyBorder="1" applyAlignment="1">
      <alignment horizontal="right" vertical="center" wrapText="1" indent="1"/>
    </xf>
    <xf numFmtId="2" fontId="11" fillId="6" borderId="16" xfId="0" applyNumberFormat="1" applyFont="1" applyFill="1" applyBorder="1" applyAlignment="1">
      <alignment horizontal="center" vertical="center" wrapText="1"/>
    </xf>
    <xf numFmtId="2" fontId="11" fillId="6" borderId="17" xfId="0" applyNumberFormat="1" applyFont="1" applyFill="1" applyBorder="1" applyAlignment="1">
      <alignment horizontal="center" vertical="center" wrapText="1"/>
    </xf>
    <xf numFmtId="3" fontId="11" fillId="6" borderId="16" xfId="1" applyNumberFormat="1" applyFont="1" applyFill="1" applyBorder="1" applyAlignment="1">
      <alignment horizontal="center" vertical="center" wrapText="1"/>
    </xf>
    <xf numFmtId="3" fontId="11" fillId="6" borderId="17" xfId="1" applyNumberFormat="1"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8" fillId="5" borderId="16"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7" xfId="0" applyFont="1" applyFill="1" applyBorder="1" applyAlignment="1">
      <alignment horizontal="center" vertical="center" wrapText="1"/>
    </xf>
    <xf numFmtId="3" fontId="11" fillId="6" borderId="18" xfId="0" applyNumberFormat="1" applyFont="1" applyFill="1" applyBorder="1" applyAlignment="1">
      <alignment horizontal="center" vertical="center" wrapText="1"/>
    </xf>
    <xf numFmtId="0" fontId="32" fillId="6" borderId="12"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6" borderId="19" xfId="0" applyFont="1" applyFill="1" applyBorder="1" applyAlignment="1">
      <alignment horizontal="center" vertical="center" wrapText="1"/>
    </xf>
  </cellXfs>
  <cellStyles count="11">
    <cellStyle name="Excel Built-in Normal" xfId="4"/>
    <cellStyle name="Hipervínculo" xfId="10" builtinId="8"/>
    <cellStyle name="Millares" xfId="1" builtinId="3"/>
    <cellStyle name="Millares [0]" xfId="2" builtinId="6"/>
    <cellStyle name="Millares 2" xfId="6"/>
    <cellStyle name="Millares 2 2" xfId="9"/>
    <cellStyle name="Millares 3" xfId="7"/>
    <cellStyle name="Millares 4" xfId="8"/>
    <cellStyle name="Moneda" xfId="3" builtinId="4"/>
    <cellStyle name="Normal" xfId="0" builtinId="0"/>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50800</xdr:rowOff>
    </xdr:from>
    <xdr:to>
      <xdr:col>7</xdr:col>
      <xdr:colOff>12700</xdr:colOff>
      <xdr:row>3</xdr:row>
      <xdr:rowOff>31750</xdr:rowOff>
    </xdr:to>
    <xdr:pic>
      <xdr:nvPicPr>
        <xdr:cNvPr id="2" name="Imagen 1"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8100" y="50800"/>
          <a:ext cx="144240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2730500</xdr:colOff>
      <xdr:row>0</xdr:row>
      <xdr:rowOff>50800</xdr:rowOff>
    </xdr:from>
    <xdr:to>
      <xdr:col>5</xdr:col>
      <xdr:colOff>711200</xdr:colOff>
      <xdr:row>3</xdr:row>
      <xdr:rowOff>25400</xdr:rowOff>
    </xdr:to>
    <xdr:sp macro="" textlink="">
      <xdr:nvSpPr>
        <xdr:cNvPr id="3" name="Text Box 5">
          <a:extLst>
            <a:ext uri="{FF2B5EF4-FFF2-40B4-BE49-F238E27FC236}"/>
          </a:extLst>
        </xdr:cNvPr>
        <xdr:cNvSpPr txBox="1">
          <a:spLocks noChangeArrowheads="1"/>
        </xdr:cNvSpPr>
      </xdr:nvSpPr>
      <xdr:spPr bwMode="auto">
        <a:xfrm>
          <a:off x="2730500" y="50800"/>
          <a:ext cx="8239125" cy="631825"/>
        </a:xfrm>
        <a:prstGeom prst="rect">
          <a:avLst/>
        </a:prstGeom>
        <a:noFill/>
        <a:ln>
          <a:noFill/>
        </a:ln>
        <a:extLst/>
      </xdr:spPr>
      <xdr:txBody>
        <a:bodyPr vertOverflow="clip" wrap="square" lIns="91440" tIns="45720" rIns="91440" bIns="45720" anchor="t" upright="1"/>
        <a:lstStyle/>
        <a:p>
          <a:pPr algn="ctr" rtl="0">
            <a:defRPr sz="1000"/>
          </a:pPr>
          <a:r>
            <a:rPr lang="es-PY" sz="1500" b="1" i="0" u="none" strike="noStrike" baseline="0">
              <a:solidFill>
                <a:srgbClr val="000066"/>
              </a:solidFill>
              <a:latin typeface="Calibri"/>
              <a:cs typeface="Calibri"/>
            </a:rPr>
            <a:t>Subsecretaría de Estado de Administración Financiera</a:t>
          </a:r>
        </a:p>
        <a:p>
          <a:pPr algn="ctr" rtl="0">
            <a:defRPr sz="1000"/>
          </a:pPr>
          <a:r>
            <a:rPr lang="es-PY" sz="1500" b="1" i="0" u="none" strike="noStrike" baseline="0">
              <a:solidFill>
                <a:srgbClr val="000066"/>
              </a:solidFill>
              <a:latin typeface="Calibri"/>
              <a:cs typeface="Times New Roman"/>
            </a:rPr>
            <a:t>Unidad de Departamentos y Municipios - UDM</a:t>
          </a:r>
          <a:endParaRPr lang="es-PY" sz="1500" b="1" i="0" u="none" strike="noStrike" baseline="0">
            <a:solidFill>
              <a:srgbClr val="000066"/>
            </a:solidFill>
            <a:latin typeface="Times New Roman"/>
            <a:cs typeface="Times New Roman"/>
          </a:endParaRPr>
        </a:p>
        <a:p>
          <a:pPr algn="l" rtl="0">
            <a:defRPr sz="1000"/>
          </a:pPr>
          <a:endParaRPr lang="es-PY" sz="1500" b="1" i="0" u="none" strike="noStrike" baseline="0">
            <a:solidFill>
              <a:srgbClr val="000066"/>
            </a:solidFill>
            <a:latin typeface="Times New Roman"/>
            <a:cs typeface="Times New Roman"/>
          </a:endParaRPr>
        </a:p>
      </xdr:txBody>
    </xdr:sp>
    <xdr:clientData/>
  </xdr:twoCellAnchor>
  <xdr:twoCellAnchor editAs="oneCell">
    <xdr:from>
      <xdr:col>0</xdr:col>
      <xdr:colOff>215900</xdr:colOff>
      <xdr:row>0</xdr:row>
      <xdr:rowOff>136525</xdr:rowOff>
    </xdr:from>
    <xdr:to>
      <xdr:col>0</xdr:col>
      <xdr:colOff>1409700</xdr:colOff>
      <xdr:row>2</xdr:row>
      <xdr:rowOff>177800</xdr:rowOff>
    </xdr:to>
    <xdr:pic>
      <xdr:nvPicPr>
        <xdr:cNvPr id="6" name="Imagen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900" y="136525"/>
          <a:ext cx="1193800" cy="473075"/>
        </a:xfrm>
        <a:prstGeom prst="rect">
          <a:avLst/>
        </a:prstGeom>
        <a:noFill/>
      </xdr:spPr>
    </xdr:pic>
    <xdr:clientData/>
  </xdr:twoCellAnchor>
  <xdr:twoCellAnchor editAs="oneCell">
    <xdr:from>
      <xdr:col>6</xdr:col>
      <xdr:colOff>1657350</xdr:colOff>
      <xdr:row>0</xdr:row>
      <xdr:rowOff>165100</xdr:rowOff>
    </xdr:from>
    <xdr:to>
      <xdr:col>6</xdr:col>
      <xdr:colOff>3251200</xdr:colOff>
      <xdr:row>2</xdr:row>
      <xdr:rowOff>165100</xdr:rowOff>
    </xdr:to>
    <xdr:pic>
      <xdr:nvPicPr>
        <xdr:cNvPr id="7" name="Imagen 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30150" y="165100"/>
          <a:ext cx="1593850" cy="4318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xdr:row>
      <xdr:rowOff>28575</xdr:rowOff>
    </xdr:to>
    <xdr:pic>
      <xdr:nvPicPr>
        <xdr:cNvPr id="2" name="Imagen 1"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21158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118533</xdr:colOff>
      <xdr:row>0</xdr:row>
      <xdr:rowOff>52917</xdr:rowOff>
    </xdr:from>
    <xdr:to>
      <xdr:col>8</xdr:col>
      <xdr:colOff>786341</xdr:colOff>
      <xdr:row>3</xdr:row>
      <xdr:rowOff>10584</xdr:rowOff>
    </xdr:to>
    <xdr:sp macro="" textlink="">
      <xdr:nvSpPr>
        <xdr:cNvPr id="5" name="Text Box 5">
          <a:extLst/>
        </xdr:cNvPr>
        <xdr:cNvSpPr txBox="1">
          <a:spLocks noChangeArrowheads="1"/>
        </xdr:cNvSpPr>
      </xdr:nvSpPr>
      <xdr:spPr bwMode="auto">
        <a:xfrm>
          <a:off x="4090458" y="52917"/>
          <a:ext cx="4001558"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219075</xdr:colOff>
      <xdr:row>0</xdr:row>
      <xdr:rowOff>114300</xdr:rowOff>
    </xdr:from>
    <xdr:to>
      <xdr:col>0</xdr:col>
      <xdr:colOff>1190625</xdr:colOff>
      <xdr:row>2</xdr:row>
      <xdr:rowOff>142875</xdr:rowOff>
    </xdr:to>
    <xdr:pic>
      <xdr:nvPicPr>
        <xdr:cNvPr id="7" name="Imagen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14300"/>
          <a:ext cx="971550" cy="409575"/>
        </a:xfrm>
        <a:prstGeom prst="rect">
          <a:avLst/>
        </a:prstGeom>
        <a:noFill/>
      </xdr:spPr>
    </xdr:pic>
    <xdr:clientData/>
  </xdr:twoCellAnchor>
  <xdr:twoCellAnchor editAs="oneCell">
    <xdr:from>
      <xdr:col>11</xdr:col>
      <xdr:colOff>228600</xdr:colOff>
      <xdr:row>0</xdr:row>
      <xdr:rowOff>104775</xdr:rowOff>
    </xdr:from>
    <xdr:to>
      <xdr:col>12</xdr:col>
      <xdr:colOff>762000</xdr:colOff>
      <xdr:row>2</xdr:row>
      <xdr:rowOff>147320</xdr:rowOff>
    </xdr:to>
    <xdr:pic>
      <xdr:nvPicPr>
        <xdr:cNvPr id="8" name="Imagen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104775"/>
          <a:ext cx="1543050" cy="42354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981075</xdr:colOff>
      <xdr:row>3</xdr:row>
      <xdr:rowOff>28575</xdr:rowOff>
    </xdr:to>
    <xdr:pic>
      <xdr:nvPicPr>
        <xdr:cNvPr id="21" name="Imagen 20"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592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23"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219075</xdr:colOff>
      <xdr:row>0</xdr:row>
      <xdr:rowOff>95250</xdr:rowOff>
    </xdr:from>
    <xdr:to>
      <xdr:col>0</xdr:col>
      <xdr:colOff>1190625</xdr:colOff>
      <xdr:row>2</xdr:row>
      <xdr:rowOff>123825</xdr:rowOff>
    </xdr:to>
    <xdr:pic>
      <xdr:nvPicPr>
        <xdr:cNvPr id="8" name="Imagen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95250"/>
          <a:ext cx="971550" cy="409575"/>
        </a:xfrm>
        <a:prstGeom prst="rect">
          <a:avLst/>
        </a:prstGeom>
        <a:noFill/>
      </xdr:spPr>
    </xdr:pic>
    <xdr:clientData/>
  </xdr:twoCellAnchor>
  <xdr:twoCellAnchor editAs="oneCell">
    <xdr:from>
      <xdr:col>11</xdr:col>
      <xdr:colOff>228600</xdr:colOff>
      <xdr:row>0</xdr:row>
      <xdr:rowOff>85725</xdr:rowOff>
    </xdr:from>
    <xdr:to>
      <xdr:col>12</xdr:col>
      <xdr:colOff>762000</xdr:colOff>
      <xdr:row>2</xdr:row>
      <xdr:rowOff>128270</xdr:rowOff>
    </xdr:to>
    <xdr:pic>
      <xdr:nvPicPr>
        <xdr:cNvPr id="9" name="Imagen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85725"/>
          <a:ext cx="1543050" cy="42354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981075</xdr:colOff>
      <xdr:row>3</xdr:row>
      <xdr:rowOff>28575</xdr:rowOff>
    </xdr:to>
    <xdr:pic>
      <xdr:nvPicPr>
        <xdr:cNvPr id="5" name="Imagen 4"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933450</xdr:colOff>
      <xdr:row>3</xdr:row>
      <xdr:rowOff>10584</xdr:rowOff>
    </xdr:to>
    <xdr:sp macro="" textlink="">
      <xdr:nvSpPr>
        <xdr:cNvPr id="7"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219075</xdr:colOff>
      <xdr:row>0</xdr:row>
      <xdr:rowOff>85725</xdr:rowOff>
    </xdr:from>
    <xdr:to>
      <xdr:col>0</xdr:col>
      <xdr:colOff>1190625</xdr:colOff>
      <xdr:row>2</xdr:row>
      <xdr:rowOff>114300</xdr:rowOff>
    </xdr:to>
    <xdr:pic>
      <xdr:nvPicPr>
        <xdr:cNvPr id="9" name="Imagen 8"/>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85725"/>
          <a:ext cx="971550" cy="409575"/>
        </a:xfrm>
        <a:prstGeom prst="rect">
          <a:avLst/>
        </a:prstGeom>
        <a:noFill/>
      </xdr:spPr>
    </xdr:pic>
    <xdr:clientData/>
  </xdr:twoCellAnchor>
  <xdr:twoCellAnchor editAs="oneCell">
    <xdr:from>
      <xdr:col>11</xdr:col>
      <xdr:colOff>66675</xdr:colOff>
      <xdr:row>0</xdr:row>
      <xdr:rowOff>76200</xdr:rowOff>
    </xdr:from>
    <xdr:to>
      <xdr:col>12</xdr:col>
      <xdr:colOff>600075</xdr:colOff>
      <xdr:row>2</xdr:row>
      <xdr:rowOff>118745</xdr:rowOff>
    </xdr:to>
    <xdr:pic>
      <xdr:nvPicPr>
        <xdr:cNvPr id="10" name="Imagen 9"/>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76200"/>
          <a:ext cx="1543050" cy="42354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1000125</xdr:colOff>
      <xdr:row>3</xdr:row>
      <xdr:rowOff>28575</xdr:rowOff>
    </xdr:to>
    <xdr:pic>
      <xdr:nvPicPr>
        <xdr:cNvPr id="8" name="Imagen 7"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10"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209550</xdr:colOff>
      <xdr:row>0</xdr:row>
      <xdr:rowOff>85725</xdr:rowOff>
    </xdr:from>
    <xdr:to>
      <xdr:col>0</xdr:col>
      <xdr:colOff>1181100</xdr:colOff>
      <xdr:row>2</xdr:row>
      <xdr:rowOff>114300</xdr:rowOff>
    </xdr:to>
    <xdr:pic>
      <xdr:nvPicPr>
        <xdr:cNvPr id="6" name="Imagen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85725"/>
          <a:ext cx="971550" cy="409575"/>
        </a:xfrm>
        <a:prstGeom prst="rect">
          <a:avLst/>
        </a:prstGeom>
        <a:noFill/>
      </xdr:spPr>
    </xdr:pic>
    <xdr:clientData/>
  </xdr:twoCellAnchor>
  <xdr:twoCellAnchor editAs="oneCell">
    <xdr:from>
      <xdr:col>11</xdr:col>
      <xdr:colOff>76200</xdr:colOff>
      <xdr:row>0</xdr:row>
      <xdr:rowOff>76200</xdr:rowOff>
    </xdr:from>
    <xdr:to>
      <xdr:col>12</xdr:col>
      <xdr:colOff>609600</xdr:colOff>
      <xdr:row>2</xdr:row>
      <xdr:rowOff>118745</xdr:rowOff>
    </xdr:to>
    <xdr:pic>
      <xdr:nvPicPr>
        <xdr:cNvPr id="7" name="Imagen 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68100" y="76200"/>
          <a:ext cx="1543050" cy="42354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981075</xdr:colOff>
      <xdr:row>3</xdr:row>
      <xdr:rowOff>28575</xdr:rowOff>
    </xdr:to>
    <xdr:pic>
      <xdr:nvPicPr>
        <xdr:cNvPr id="5" name="Imagen 4"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3635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299508</xdr:colOff>
      <xdr:row>0</xdr:row>
      <xdr:rowOff>52917</xdr:rowOff>
    </xdr:from>
    <xdr:to>
      <xdr:col>8</xdr:col>
      <xdr:colOff>952500</xdr:colOff>
      <xdr:row>3</xdr:row>
      <xdr:rowOff>10584</xdr:rowOff>
    </xdr:to>
    <xdr:sp macro="" textlink="">
      <xdr:nvSpPr>
        <xdr:cNvPr id="7"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190500</xdr:colOff>
      <xdr:row>0</xdr:row>
      <xdr:rowOff>104775</xdr:rowOff>
    </xdr:from>
    <xdr:to>
      <xdr:col>0</xdr:col>
      <xdr:colOff>1162050</xdr:colOff>
      <xdr:row>2</xdr:row>
      <xdr:rowOff>133350</xdr:rowOff>
    </xdr:to>
    <xdr:pic>
      <xdr:nvPicPr>
        <xdr:cNvPr id="9" name="Imagen 8"/>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04775"/>
          <a:ext cx="971550" cy="409575"/>
        </a:xfrm>
        <a:prstGeom prst="rect">
          <a:avLst/>
        </a:prstGeom>
        <a:noFill/>
      </xdr:spPr>
    </xdr:pic>
    <xdr:clientData/>
  </xdr:twoCellAnchor>
  <xdr:twoCellAnchor editAs="oneCell">
    <xdr:from>
      <xdr:col>11</xdr:col>
      <xdr:colOff>66675</xdr:colOff>
      <xdr:row>0</xdr:row>
      <xdr:rowOff>95250</xdr:rowOff>
    </xdr:from>
    <xdr:to>
      <xdr:col>12</xdr:col>
      <xdr:colOff>609600</xdr:colOff>
      <xdr:row>2</xdr:row>
      <xdr:rowOff>137795</xdr:rowOff>
    </xdr:to>
    <xdr:pic>
      <xdr:nvPicPr>
        <xdr:cNvPr id="10" name="Imagen 9"/>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49050" y="95250"/>
          <a:ext cx="1543050" cy="42354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95250</xdr:colOff>
      <xdr:row>3</xdr:row>
      <xdr:rowOff>28575</xdr:rowOff>
    </xdr:to>
    <xdr:pic>
      <xdr:nvPicPr>
        <xdr:cNvPr id="13" name="Imagen 12"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563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232833</xdr:colOff>
      <xdr:row>0</xdr:row>
      <xdr:rowOff>52917</xdr:rowOff>
    </xdr:from>
    <xdr:to>
      <xdr:col>8</xdr:col>
      <xdr:colOff>885825</xdr:colOff>
      <xdr:row>3</xdr:row>
      <xdr:rowOff>10584</xdr:rowOff>
    </xdr:to>
    <xdr:sp macro="" textlink="">
      <xdr:nvSpPr>
        <xdr:cNvPr id="15"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180975</xdr:colOff>
      <xdr:row>0</xdr:row>
      <xdr:rowOff>85725</xdr:rowOff>
    </xdr:from>
    <xdr:to>
      <xdr:col>0</xdr:col>
      <xdr:colOff>1152525</xdr:colOff>
      <xdr:row>2</xdr:row>
      <xdr:rowOff>114300</xdr:rowOff>
    </xdr:to>
    <xdr:pic>
      <xdr:nvPicPr>
        <xdr:cNvPr id="6" name="Imagen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85725"/>
          <a:ext cx="971550" cy="409575"/>
        </a:xfrm>
        <a:prstGeom prst="rect">
          <a:avLst/>
        </a:prstGeom>
        <a:noFill/>
      </xdr:spPr>
    </xdr:pic>
    <xdr:clientData/>
  </xdr:twoCellAnchor>
  <xdr:twoCellAnchor editAs="oneCell">
    <xdr:from>
      <xdr:col>10</xdr:col>
      <xdr:colOff>800100</xdr:colOff>
      <xdr:row>0</xdr:row>
      <xdr:rowOff>76200</xdr:rowOff>
    </xdr:from>
    <xdr:to>
      <xdr:col>12</xdr:col>
      <xdr:colOff>523875</xdr:colOff>
      <xdr:row>2</xdr:row>
      <xdr:rowOff>118745</xdr:rowOff>
    </xdr:to>
    <xdr:pic>
      <xdr:nvPicPr>
        <xdr:cNvPr id="7" name="Imagen 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9525" y="76200"/>
          <a:ext cx="1543050" cy="42354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219075</xdr:colOff>
      <xdr:row>3</xdr:row>
      <xdr:rowOff>28575</xdr:rowOff>
    </xdr:to>
    <xdr:pic>
      <xdr:nvPicPr>
        <xdr:cNvPr id="2" name="Imagen 1"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563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4"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257175</xdr:colOff>
      <xdr:row>0</xdr:row>
      <xdr:rowOff>95250</xdr:rowOff>
    </xdr:from>
    <xdr:to>
      <xdr:col>0</xdr:col>
      <xdr:colOff>1228725</xdr:colOff>
      <xdr:row>2</xdr:row>
      <xdr:rowOff>123825</xdr:rowOff>
    </xdr:to>
    <xdr:pic>
      <xdr:nvPicPr>
        <xdr:cNvPr id="6" name="Imagen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95250"/>
          <a:ext cx="971550" cy="409575"/>
        </a:xfrm>
        <a:prstGeom prst="rect">
          <a:avLst/>
        </a:prstGeom>
        <a:noFill/>
      </xdr:spPr>
    </xdr:pic>
    <xdr:clientData/>
  </xdr:twoCellAnchor>
  <xdr:twoCellAnchor editAs="oneCell">
    <xdr:from>
      <xdr:col>11</xdr:col>
      <xdr:colOff>190500</xdr:colOff>
      <xdr:row>0</xdr:row>
      <xdr:rowOff>85725</xdr:rowOff>
    </xdr:from>
    <xdr:to>
      <xdr:col>12</xdr:col>
      <xdr:colOff>723900</xdr:colOff>
      <xdr:row>2</xdr:row>
      <xdr:rowOff>128270</xdr:rowOff>
    </xdr:to>
    <xdr:pic>
      <xdr:nvPicPr>
        <xdr:cNvPr id="7" name="Imagen 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5725" y="85725"/>
          <a:ext cx="1543050" cy="42354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152400</xdr:colOff>
      <xdr:row>3</xdr:row>
      <xdr:rowOff>28575</xdr:rowOff>
    </xdr:to>
    <xdr:pic>
      <xdr:nvPicPr>
        <xdr:cNvPr id="21" name="Imagen 20"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563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23"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6" name="Imagen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85725</xdr:colOff>
      <xdr:row>0</xdr:row>
      <xdr:rowOff>85725</xdr:rowOff>
    </xdr:from>
    <xdr:to>
      <xdr:col>12</xdr:col>
      <xdr:colOff>619125</xdr:colOff>
      <xdr:row>2</xdr:row>
      <xdr:rowOff>128270</xdr:rowOff>
    </xdr:to>
    <xdr:pic>
      <xdr:nvPicPr>
        <xdr:cNvPr id="7" name="Imagen 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85725"/>
          <a:ext cx="1543050" cy="42354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152400</xdr:colOff>
      <xdr:row>3</xdr:row>
      <xdr:rowOff>28575</xdr:rowOff>
    </xdr:to>
    <xdr:pic>
      <xdr:nvPicPr>
        <xdr:cNvPr id="5" name="Imagen 4"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563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6"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7" name="Imagen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85725</xdr:colOff>
      <xdr:row>0</xdr:row>
      <xdr:rowOff>85725</xdr:rowOff>
    </xdr:from>
    <xdr:to>
      <xdr:col>12</xdr:col>
      <xdr:colOff>619125</xdr:colOff>
      <xdr:row>2</xdr:row>
      <xdr:rowOff>128270</xdr:rowOff>
    </xdr:to>
    <xdr:pic>
      <xdr:nvPicPr>
        <xdr:cNvPr id="8" name="Imagen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85725"/>
          <a:ext cx="1543050" cy="42354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981075</xdr:colOff>
      <xdr:row>3</xdr:row>
      <xdr:rowOff>28575</xdr:rowOff>
    </xdr:to>
    <xdr:pic>
      <xdr:nvPicPr>
        <xdr:cNvPr id="5" name="Imagen 4"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933450</xdr:colOff>
      <xdr:row>3</xdr:row>
      <xdr:rowOff>10584</xdr:rowOff>
    </xdr:to>
    <xdr:sp macro="" textlink="">
      <xdr:nvSpPr>
        <xdr:cNvPr id="6"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7" name="Imagen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66675</xdr:colOff>
      <xdr:row>0</xdr:row>
      <xdr:rowOff>85725</xdr:rowOff>
    </xdr:from>
    <xdr:to>
      <xdr:col>12</xdr:col>
      <xdr:colOff>600075</xdr:colOff>
      <xdr:row>2</xdr:row>
      <xdr:rowOff>128270</xdr:rowOff>
    </xdr:to>
    <xdr:pic>
      <xdr:nvPicPr>
        <xdr:cNvPr id="8" name="Imagen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85725"/>
          <a:ext cx="1543050" cy="42354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1000125</xdr:colOff>
      <xdr:row>3</xdr:row>
      <xdr:rowOff>28575</xdr:rowOff>
    </xdr:to>
    <xdr:pic>
      <xdr:nvPicPr>
        <xdr:cNvPr id="7" name="Imagen 6"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8"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9" name="Imagen 8"/>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85725</xdr:colOff>
      <xdr:row>0</xdr:row>
      <xdr:rowOff>85725</xdr:rowOff>
    </xdr:from>
    <xdr:to>
      <xdr:col>12</xdr:col>
      <xdr:colOff>619125</xdr:colOff>
      <xdr:row>2</xdr:row>
      <xdr:rowOff>128270</xdr:rowOff>
    </xdr:to>
    <xdr:pic>
      <xdr:nvPicPr>
        <xdr:cNvPr id="10" name="Imagen 9"/>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85725"/>
          <a:ext cx="1543050" cy="42354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990600</xdr:colOff>
      <xdr:row>3</xdr:row>
      <xdr:rowOff>28575</xdr:rowOff>
    </xdr:to>
    <xdr:pic>
      <xdr:nvPicPr>
        <xdr:cNvPr id="5" name="Imagen 4"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280458</xdr:colOff>
      <xdr:row>0</xdr:row>
      <xdr:rowOff>52917</xdr:rowOff>
    </xdr:from>
    <xdr:to>
      <xdr:col>8</xdr:col>
      <xdr:colOff>933450</xdr:colOff>
      <xdr:row>3</xdr:row>
      <xdr:rowOff>10584</xdr:rowOff>
    </xdr:to>
    <xdr:sp macro="" textlink="">
      <xdr:nvSpPr>
        <xdr:cNvPr id="6"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7" name="Imagen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76200</xdr:colOff>
      <xdr:row>0</xdr:row>
      <xdr:rowOff>85725</xdr:rowOff>
    </xdr:from>
    <xdr:to>
      <xdr:col>12</xdr:col>
      <xdr:colOff>609600</xdr:colOff>
      <xdr:row>2</xdr:row>
      <xdr:rowOff>128270</xdr:rowOff>
    </xdr:to>
    <xdr:pic>
      <xdr:nvPicPr>
        <xdr:cNvPr id="8" name="Imagen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85725"/>
          <a:ext cx="1543050" cy="42354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0</xdr:rowOff>
    </xdr:from>
    <xdr:to>
      <xdr:col>13</xdr:col>
      <xdr:colOff>9525</xdr:colOff>
      <xdr:row>3</xdr:row>
      <xdr:rowOff>28575</xdr:rowOff>
    </xdr:to>
    <xdr:pic>
      <xdr:nvPicPr>
        <xdr:cNvPr id="2" name="Imagen 1"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3810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328083</xdr:colOff>
      <xdr:row>0</xdr:row>
      <xdr:rowOff>52917</xdr:rowOff>
    </xdr:from>
    <xdr:to>
      <xdr:col>8</xdr:col>
      <xdr:colOff>981075</xdr:colOff>
      <xdr:row>3</xdr:row>
      <xdr:rowOff>10584</xdr:rowOff>
    </xdr:to>
    <xdr:sp macro="" textlink="">
      <xdr:nvSpPr>
        <xdr:cNvPr id="3" name="Text Box 5">
          <a:extLst/>
        </xdr:cNvPr>
        <xdr:cNvSpPr txBox="1">
          <a:spLocks noChangeArrowheads="1"/>
        </xdr:cNvSpPr>
      </xdr:nvSpPr>
      <xdr:spPr bwMode="auto">
        <a:xfrm>
          <a:off x="44238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257174</xdr:colOff>
      <xdr:row>0</xdr:row>
      <xdr:rowOff>95250</xdr:rowOff>
    </xdr:from>
    <xdr:to>
      <xdr:col>0</xdr:col>
      <xdr:colOff>1276349</xdr:colOff>
      <xdr:row>2</xdr:row>
      <xdr:rowOff>142875</xdr:rowOff>
    </xdr:to>
    <xdr:pic>
      <xdr:nvPicPr>
        <xdr:cNvPr id="4" name="Imagen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4" y="95250"/>
          <a:ext cx="1019175" cy="428625"/>
        </a:xfrm>
        <a:prstGeom prst="rect">
          <a:avLst/>
        </a:prstGeom>
        <a:noFill/>
      </xdr:spPr>
    </xdr:pic>
    <xdr:clientData/>
  </xdr:twoCellAnchor>
  <xdr:twoCellAnchor editAs="oneCell">
    <xdr:from>
      <xdr:col>11</xdr:col>
      <xdr:colOff>66675</xdr:colOff>
      <xdr:row>0</xdr:row>
      <xdr:rowOff>85725</xdr:rowOff>
    </xdr:from>
    <xdr:to>
      <xdr:col>12</xdr:col>
      <xdr:colOff>600075</xdr:colOff>
      <xdr:row>2</xdr:row>
      <xdr:rowOff>128270</xdr:rowOff>
    </xdr:to>
    <xdr:pic>
      <xdr:nvPicPr>
        <xdr:cNvPr id="5" name="Imagen 4"/>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77625" y="85725"/>
          <a:ext cx="1543050" cy="42354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952500</xdr:colOff>
      <xdr:row>3</xdr:row>
      <xdr:rowOff>28575</xdr:rowOff>
    </xdr:to>
    <xdr:pic>
      <xdr:nvPicPr>
        <xdr:cNvPr id="6" name="Imagen 5"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7"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8" name="Imagen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0</xdr:colOff>
      <xdr:row>0</xdr:row>
      <xdr:rowOff>85725</xdr:rowOff>
    </xdr:from>
    <xdr:to>
      <xdr:col>12</xdr:col>
      <xdr:colOff>533400</xdr:colOff>
      <xdr:row>2</xdr:row>
      <xdr:rowOff>128270</xdr:rowOff>
    </xdr:to>
    <xdr:pic>
      <xdr:nvPicPr>
        <xdr:cNvPr id="9" name="Imagen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9525" y="85725"/>
          <a:ext cx="1543050" cy="42354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981075</xdr:colOff>
      <xdr:row>3</xdr:row>
      <xdr:rowOff>28575</xdr:rowOff>
    </xdr:to>
    <xdr:pic>
      <xdr:nvPicPr>
        <xdr:cNvPr id="9" name="Imagen 8"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10"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11" name="Imagen 10"/>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28575</xdr:colOff>
      <xdr:row>0</xdr:row>
      <xdr:rowOff>85725</xdr:rowOff>
    </xdr:from>
    <xdr:to>
      <xdr:col>12</xdr:col>
      <xdr:colOff>561975</xdr:colOff>
      <xdr:row>2</xdr:row>
      <xdr:rowOff>128270</xdr:rowOff>
    </xdr:to>
    <xdr:pic>
      <xdr:nvPicPr>
        <xdr:cNvPr id="12" name="Imagen 1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9525" y="85725"/>
          <a:ext cx="1543050" cy="42354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981075</xdr:colOff>
      <xdr:row>3</xdr:row>
      <xdr:rowOff>28575</xdr:rowOff>
    </xdr:to>
    <xdr:pic>
      <xdr:nvPicPr>
        <xdr:cNvPr id="8" name="Imagen 7"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9"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10" name="Imagen 9"/>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28575</xdr:colOff>
      <xdr:row>0</xdr:row>
      <xdr:rowOff>85725</xdr:rowOff>
    </xdr:from>
    <xdr:to>
      <xdr:col>12</xdr:col>
      <xdr:colOff>561975</xdr:colOff>
      <xdr:row>2</xdr:row>
      <xdr:rowOff>128270</xdr:rowOff>
    </xdr:to>
    <xdr:pic>
      <xdr:nvPicPr>
        <xdr:cNvPr id="11" name="Imagen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9525" y="85725"/>
          <a:ext cx="1543050" cy="423545"/>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981075</xdr:colOff>
      <xdr:row>3</xdr:row>
      <xdr:rowOff>28575</xdr:rowOff>
    </xdr:to>
    <xdr:pic>
      <xdr:nvPicPr>
        <xdr:cNvPr id="5" name="Imagen 4"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6"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7" name="Imagen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28575</xdr:colOff>
      <xdr:row>0</xdr:row>
      <xdr:rowOff>85725</xdr:rowOff>
    </xdr:from>
    <xdr:to>
      <xdr:col>12</xdr:col>
      <xdr:colOff>561975</xdr:colOff>
      <xdr:row>2</xdr:row>
      <xdr:rowOff>128270</xdr:rowOff>
    </xdr:to>
    <xdr:pic>
      <xdr:nvPicPr>
        <xdr:cNvPr id="8" name="Imagen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9525" y="85725"/>
          <a:ext cx="1543050" cy="42354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971550</xdr:colOff>
      <xdr:row>3</xdr:row>
      <xdr:rowOff>28575</xdr:rowOff>
    </xdr:to>
    <xdr:pic>
      <xdr:nvPicPr>
        <xdr:cNvPr id="5" name="Imagen 4" descr="003"/>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0" y="0"/>
          <a:ext cx="13401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289983</xdr:colOff>
      <xdr:row>0</xdr:row>
      <xdr:rowOff>52917</xdr:rowOff>
    </xdr:from>
    <xdr:to>
      <xdr:col>8</xdr:col>
      <xdr:colOff>942975</xdr:colOff>
      <xdr:row>3</xdr:row>
      <xdr:rowOff>10584</xdr:rowOff>
    </xdr:to>
    <xdr:sp macro="" textlink="">
      <xdr:nvSpPr>
        <xdr:cNvPr id="6" name="Text Box 5">
          <a:extLst/>
        </xdr:cNvPr>
        <xdr:cNvSpPr txBox="1">
          <a:spLocks noChangeArrowheads="1"/>
        </xdr:cNvSpPr>
      </xdr:nvSpPr>
      <xdr:spPr bwMode="auto">
        <a:xfrm>
          <a:off x="4385733" y="52917"/>
          <a:ext cx="3986742" cy="529167"/>
        </a:xfrm>
        <a:prstGeom prst="rect">
          <a:avLst/>
        </a:prstGeom>
        <a:noFill/>
        <a:ln>
          <a:noFill/>
        </a:ln>
        <a:extLst/>
      </xdr:spPr>
      <xdr:txBody>
        <a:bodyPr vertOverflow="clip" wrap="square" lIns="91440" tIns="45720" rIns="91440" bIns="45720" anchor="ctr" upright="1"/>
        <a:lstStyle/>
        <a:p>
          <a:pPr algn="ctr" rtl="0">
            <a:defRPr sz="1000"/>
          </a:pPr>
          <a:r>
            <a:rPr lang="es-PY" sz="1300" b="1" i="0" u="none" strike="noStrike" baseline="0">
              <a:solidFill>
                <a:srgbClr val="000066"/>
              </a:solidFill>
              <a:latin typeface="+mn-lt"/>
              <a:cs typeface="Calibri"/>
            </a:rPr>
            <a:t>Subsecretaría de Estado de Administración Financiera</a:t>
          </a:r>
        </a:p>
        <a:p>
          <a:pPr algn="ctr" rtl="0">
            <a:defRPr sz="1000"/>
          </a:pPr>
          <a:r>
            <a:rPr lang="es-PY" sz="1300" b="1" i="0" u="none" strike="noStrike" baseline="0">
              <a:solidFill>
                <a:srgbClr val="000066"/>
              </a:solidFill>
              <a:latin typeface="+mn-lt"/>
              <a:cs typeface="Times New Roman"/>
            </a:rPr>
            <a:t>Unidad de Departamentos y Municipios - UDM</a:t>
          </a:r>
        </a:p>
      </xdr:txBody>
    </xdr:sp>
    <xdr:clientData/>
  </xdr:twoCellAnchor>
  <xdr:twoCellAnchor editAs="oneCell">
    <xdr:from>
      <xdr:col>0</xdr:col>
      <xdr:colOff>219074</xdr:colOff>
      <xdr:row>0</xdr:row>
      <xdr:rowOff>95250</xdr:rowOff>
    </xdr:from>
    <xdr:to>
      <xdr:col>0</xdr:col>
      <xdr:colOff>1238249</xdr:colOff>
      <xdr:row>2</xdr:row>
      <xdr:rowOff>142875</xdr:rowOff>
    </xdr:to>
    <xdr:pic>
      <xdr:nvPicPr>
        <xdr:cNvPr id="7" name="Imagen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4" y="95250"/>
          <a:ext cx="1019175" cy="428625"/>
        </a:xfrm>
        <a:prstGeom prst="rect">
          <a:avLst/>
        </a:prstGeom>
        <a:noFill/>
      </xdr:spPr>
    </xdr:pic>
    <xdr:clientData/>
  </xdr:twoCellAnchor>
  <xdr:twoCellAnchor editAs="oneCell">
    <xdr:from>
      <xdr:col>11</xdr:col>
      <xdr:colOff>19050</xdr:colOff>
      <xdr:row>0</xdr:row>
      <xdr:rowOff>85725</xdr:rowOff>
    </xdr:from>
    <xdr:to>
      <xdr:col>12</xdr:col>
      <xdr:colOff>552450</xdr:colOff>
      <xdr:row>2</xdr:row>
      <xdr:rowOff>128270</xdr:rowOff>
    </xdr:to>
    <xdr:pic>
      <xdr:nvPicPr>
        <xdr:cNvPr id="8" name="Imagen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9525" y="85725"/>
          <a:ext cx="1543050" cy="42354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tabSelected="1" zoomScale="75" zoomScaleNormal="75" workbookViewId="0">
      <selection activeCell="J9" sqref="J9"/>
    </sheetView>
  </sheetViews>
  <sheetFormatPr baseColWidth="10" defaultRowHeight="12.75" x14ac:dyDescent="0.2"/>
  <cols>
    <col min="1" max="1" width="52.140625" style="580" customWidth="1"/>
    <col min="2" max="2" width="2.7109375" style="580" customWidth="1"/>
    <col min="3" max="3" width="52.140625" style="580" customWidth="1"/>
    <col min="4" max="4" width="2.7109375" style="580" customWidth="1"/>
    <col min="5" max="5" width="52.140625" style="580" customWidth="1"/>
    <col min="6" max="6" width="2.7109375" style="580" customWidth="1"/>
    <col min="7" max="7" width="52.140625" style="580" customWidth="1"/>
    <col min="8" max="245" width="11.42578125" style="580"/>
    <col min="246" max="246" width="5.140625" style="580" customWidth="1"/>
    <col min="247" max="247" width="45.5703125" style="580" customWidth="1"/>
    <col min="248" max="251" width="21.42578125" style="580" customWidth="1"/>
    <col min="252" max="252" width="23.85546875" style="580" customWidth="1"/>
    <col min="253" max="255" width="22.85546875" style="580" customWidth="1"/>
    <col min="256" max="256" width="21.42578125" style="580" customWidth="1"/>
    <col min="257" max="501" width="11.42578125" style="580"/>
    <col min="502" max="502" width="5.140625" style="580" customWidth="1"/>
    <col min="503" max="503" width="45.5703125" style="580" customWidth="1"/>
    <col min="504" max="507" width="21.42578125" style="580" customWidth="1"/>
    <col min="508" max="508" width="23.85546875" style="580" customWidth="1"/>
    <col min="509" max="511" width="22.85546875" style="580" customWidth="1"/>
    <col min="512" max="512" width="21.42578125" style="580" customWidth="1"/>
    <col min="513" max="757" width="11.42578125" style="580"/>
    <col min="758" max="758" width="5.140625" style="580" customWidth="1"/>
    <col min="759" max="759" width="45.5703125" style="580" customWidth="1"/>
    <col min="760" max="763" width="21.42578125" style="580" customWidth="1"/>
    <col min="764" max="764" width="23.85546875" style="580" customWidth="1"/>
    <col min="765" max="767" width="22.85546875" style="580" customWidth="1"/>
    <col min="768" max="768" width="21.42578125" style="580" customWidth="1"/>
    <col min="769" max="1013" width="11.42578125" style="580"/>
    <col min="1014" max="1014" width="5.140625" style="580" customWidth="1"/>
    <col min="1015" max="1015" width="45.5703125" style="580" customWidth="1"/>
    <col min="1016" max="1019" width="21.42578125" style="580" customWidth="1"/>
    <col min="1020" max="1020" width="23.85546875" style="580" customWidth="1"/>
    <col min="1021" max="1023" width="22.85546875" style="580" customWidth="1"/>
    <col min="1024" max="1024" width="21.42578125" style="580" customWidth="1"/>
    <col min="1025" max="1269" width="11.42578125" style="580"/>
    <col min="1270" max="1270" width="5.140625" style="580" customWidth="1"/>
    <col min="1271" max="1271" width="45.5703125" style="580" customWidth="1"/>
    <col min="1272" max="1275" width="21.42578125" style="580" customWidth="1"/>
    <col min="1276" max="1276" width="23.85546875" style="580" customWidth="1"/>
    <col min="1277" max="1279" width="22.85546875" style="580" customWidth="1"/>
    <col min="1280" max="1280" width="21.42578125" style="580" customWidth="1"/>
    <col min="1281" max="1525" width="11.42578125" style="580"/>
    <col min="1526" max="1526" width="5.140625" style="580" customWidth="1"/>
    <col min="1527" max="1527" width="45.5703125" style="580" customWidth="1"/>
    <col min="1528" max="1531" width="21.42578125" style="580" customWidth="1"/>
    <col min="1532" max="1532" width="23.85546875" style="580" customWidth="1"/>
    <col min="1533" max="1535" width="22.85546875" style="580" customWidth="1"/>
    <col min="1536" max="1536" width="21.42578125" style="580" customWidth="1"/>
    <col min="1537" max="1781" width="11.42578125" style="580"/>
    <col min="1782" max="1782" width="5.140625" style="580" customWidth="1"/>
    <col min="1783" max="1783" width="45.5703125" style="580" customWidth="1"/>
    <col min="1784" max="1787" width="21.42578125" style="580" customWidth="1"/>
    <col min="1788" max="1788" width="23.85546875" style="580" customWidth="1"/>
    <col min="1789" max="1791" width="22.85546875" style="580" customWidth="1"/>
    <col min="1792" max="1792" width="21.42578125" style="580" customWidth="1"/>
    <col min="1793" max="2037" width="11.42578125" style="580"/>
    <col min="2038" max="2038" width="5.140625" style="580" customWidth="1"/>
    <col min="2039" max="2039" width="45.5703125" style="580" customWidth="1"/>
    <col min="2040" max="2043" width="21.42578125" style="580" customWidth="1"/>
    <col min="2044" max="2044" width="23.85546875" style="580" customWidth="1"/>
    <col min="2045" max="2047" width="22.85546875" style="580" customWidth="1"/>
    <col min="2048" max="2048" width="21.42578125" style="580" customWidth="1"/>
    <col min="2049" max="2293" width="11.42578125" style="580"/>
    <col min="2294" max="2294" width="5.140625" style="580" customWidth="1"/>
    <col min="2295" max="2295" width="45.5703125" style="580" customWidth="1"/>
    <col min="2296" max="2299" width="21.42578125" style="580" customWidth="1"/>
    <col min="2300" max="2300" width="23.85546875" style="580" customWidth="1"/>
    <col min="2301" max="2303" width="22.85546875" style="580" customWidth="1"/>
    <col min="2304" max="2304" width="21.42578125" style="580" customWidth="1"/>
    <col min="2305" max="2549" width="11.42578125" style="580"/>
    <col min="2550" max="2550" width="5.140625" style="580" customWidth="1"/>
    <col min="2551" max="2551" width="45.5703125" style="580" customWidth="1"/>
    <col min="2552" max="2555" width="21.42578125" style="580" customWidth="1"/>
    <col min="2556" max="2556" width="23.85546875" style="580" customWidth="1"/>
    <col min="2557" max="2559" width="22.85546875" style="580" customWidth="1"/>
    <col min="2560" max="2560" width="21.42578125" style="580" customWidth="1"/>
    <col min="2561" max="2805" width="11.42578125" style="580"/>
    <col min="2806" max="2806" width="5.140625" style="580" customWidth="1"/>
    <col min="2807" max="2807" width="45.5703125" style="580" customWidth="1"/>
    <col min="2808" max="2811" width="21.42578125" style="580" customWidth="1"/>
    <col min="2812" max="2812" width="23.85546875" style="580" customWidth="1"/>
    <col min="2813" max="2815" width="22.85546875" style="580" customWidth="1"/>
    <col min="2816" max="2816" width="21.42578125" style="580" customWidth="1"/>
    <col min="2817" max="3061" width="11.42578125" style="580"/>
    <col min="3062" max="3062" width="5.140625" style="580" customWidth="1"/>
    <col min="3063" max="3063" width="45.5703125" style="580" customWidth="1"/>
    <col min="3064" max="3067" width="21.42578125" style="580" customWidth="1"/>
    <col min="3068" max="3068" width="23.85546875" style="580" customWidth="1"/>
    <col min="3069" max="3071" width="22.85546875" style="580" customWidth="1"/>
    <col min="3072" max="3072" width="21.42578125" style="580" customWidth="1"/>
    <col min="3073" max="3317" width="11.42578125" style="580"/>
    <col min="3318" max="3318" width="5.140625" style="580" customWidth="1"/>
    <col min="3319" max="3319" width="45.5703125" style="580" customWidth="1"/>
    <col min="3320" max="3323" width="21.42578125" style="580" customWidth="1"/>
    <col min="3324" max="3324" width="23.85546875" style="580" customWidth="1"/>
    <col min="3325" max="3327" width="22.85546875" style="580" customWidth="1"/>
    <col min="3328" max="3328" width="21.42578125" style="580" customWidth="1"/>
    <col min="3329" max="3573" width="11.42578125" style="580"/>
    <col min="3574" max="3574" width="5.140625" style="580" customWidth="1"/>
    <col min="3575" max="3575" width="45.5703125" style="580" customWidth="1"/>
    <col min="3576" max="3579" width="21.42578125" style="580" customWidth="1"/>
    <col min="3580" max="3580" width="23.85546875" style="580" customWidth="1"/>
    <col min="3581" max="3583" width="22.85546875" style="580" customWidth="1"/>
    <col min="3584" max="3584" width="21.42578125" style="580" customWidth="1"/>
    <col min="3585" max="3829" width="11.42578125" style="580"/>
    <col min="3830" max="3830" width="5.140625" style="580" customWidth="1"/>
    <col min="3831" max="3831" width="45.5703125" style="580" customWidth="1"/>
    <col min="3832" max="3835" width="21.42578125" style="580" customWidth="1"/>
    <col min="3836" max="3836" width="23.85546875" style="580" customWidth="1"/>
    <col min="3837" max="3839" width="22.85546875" style="580" customWidth="1"/>
    <col min="3840" max="3840" width="21.42578125" style="580" customWidth="1"/>
    <col min="3841" max="4085" width="11.42578125" style="580"/>
    <col min="4086" max="4086" width="5.140625" style="580" customWidth="1"/>
    <col min="4087" max="4087" width="45.5703125" style="580" customWidth="1"/>
    <col min="4088" max="4091" width="21.42578125" style="580" customWidth="1"/>
    <col min="4092" max="4092" width="23.85546875" style="580" customWidth="1"/>
    <col min="4093" max="4095" width="22.85546875" style="580" customWidth="1"/>
    <col min="4096" max="4096" width="21.42578125" style="580" customWidth="1"/>
    <col min="4097" max="4341" width="11.42578125" style="580"/>
    <col min="4342" max="4342" width="5.140625" style="580" customWidth="1"/>
    <col min="4343" max="4343" width="45.5703125" style="580" customWidth="1"/>
    <col min="4344" max="4347" width="21.42578125" style="580" customWidth="1"/>
    <col min="4348" max="4348" width="23.85546875" style="580" customWidth="1"/>
    <col min="4349" max="4351" width="22.85546875" style="580" customWidth="1"/>
    <col min="4352" max="4352" width="21.42578125" style="580" customWidth="1"/>
    <col min="4353" max="4597" width="11.42578125" style="580"/>
    <col min="4598" max="4598" width="5.140625" style="580" customWidth="1"/>
    <col min="4599" max="4599" width="45.5703125" style="580" customWidth="1"/>
    <col min="4600" max="4603" width="21.42578125" style="580" customWidth="1"/>
    <col min="4604" max="4604" width="23.85546875" style="580" customWidth="1"/>
    <col min="4605" max="4607" width="22.85546875" style="580" customWidth="1"/>
    <col min="4608" max="4608" width="21.42578125" style="580" customWidth="1"/>
    <col min="4609" max="4853" width="11.42578125" style="580"/>
    <col min="4854" max="4854" width="5.140625" style="580" customWidth="1"/>
    <col min="4855" max="4855" width="45.5703125" style="580" customWidth="1"/>
    <col min="4856" max="4859" width="21.42578125" style="580" customWidth="1"/>
    <col min="4860" max="4860" width="23.85546875" style="580" customWidth="1"/>
    <col min="4861" max="4863" width="22.85546875" style="580" customWidth="1"/>
    <col min="4864" max="4864" width="21.42578125" style="580" customWidth="1"/>
    <col min="4865" max="5109" width="11.42578125" style="580"/>
    <col min="5110" max="5110" width="5.140625" style="580" customWidth="1"/>
    <col min="5111" max="5111" width="45.5703125" style="580" customWidth="1"/>
    <col min="5112" max="5115" width="21.42578125" style="580" customWidth="1"/>
    <col min="5116" max="5116" width="23.85546875" style="580" customWidth="1"/>
    <col min="5117" max="5119" width="22.85546875" style="580" customWidth="1"/>
    <col min="5120" max="5120" width="21.42578125" style="580" customWidth="1"/>
    <col min="5121" max="5365" width="11.42578125" style="580"/>
    <col min="5366" max="5366" width="5.140625" style="580" customWidth="1"/>
    <col min="5367" max="5367" width="45.5703125" style="580" customWidth="1"/>
    <col min="5368" max="5371" width="21.42578125" style="580" customWidth="1"/>
    <col min="5372" max="5372" width="23.85546875" style="580" customWidth="1"/>
    <col min="5373" max="5375" width="22.85546875" style="580" customWidth="1"/>
    <col min="5376" max="5376" width="21.42578125" style="580" customWidth="1"/>
    <col min="5377" max="5621" width="11.42578125" style="580"/>
    <col min="5622" max="5622" width="5.140625" style="580" customWidth="1"/>
    <col min="5623" max="5623" width="45.5703125" style="580" customWidth="1"/>
    <col min="5624" max="5627" width="21.42578125" style="580" customWidth="1"/>
    <col min="5628" max="5628" width="23.85546875" style="580" customWidth="1"/>
    <col min="5629" max="5631" width="22.85546875" style="580" customWidth="1"/>
    <col min="5632" max="5632" width="21.42578125" style="580" customWidth="1"/>
    <col min="5633" max="5877" width="11.42578125" style="580"/>
    <col min="5878" max="5878" width="5.140625" style="580" customWidth="1"/>
    <col min="5879" max="5879" width="45.5703125" style="580" customWidth="1"/>
    <col min="5880" max="5883" width="21.42578125" style="580" customWidth="1"/>
    <col min="5884" max="5884" width="23.85546875" style="580" customWidth="1"/>
    <col min="5885" max="5887" width="22.85546875" style="580" customWidth="1"/>
    <col min="5888" max="5888" width="21.42578125" style="580" customWidth="1"/>
    <col min="5889" max="6133" width="11.42578125" style="580"/>
    <col min="6134" max="6134" width="5.140625" style="580" customWidth="1"/>
    <col min="6135" max="6135" width="45.5703125" style="580" customWidth="1"/>
    <col min="6136" max="6139" width="21.42578125" style="580" customWidth="1"/>
    <col min="6140" max="6140" width="23.85546875" style="580" customWidth="1"/>
    <col min="6141" max="6143" width="22.85546875" style="580" customWidth="1"/>
    <col min="6144" max="6144" width="21.42578125" style="580" customWidth="1"/>
    <col min="6145" max="6389" width="11.42578125" style="580"/>
    <col min="6390" max="6390" width="5.140625" style="580" customWidth="1"/>
    <col min="6391" max="6391" width="45.5703125" style="580" customWidth="1"/>
    <col min="6392" max="6395" width="21.42578125" style="580" customWidth="1"/>
    <col min="6396" max="6396" width="23.85546875" style="580" customWidth="1"/>
    <col min="6397" max="6399" width="22.85546875" style="580" customWidth="1"/>
    <col min="6400" max="6400" width="21.42578125" style="580" customWidth="1"/>
    <col min="6401" max="6645" width="11.42578125" style="580"/>
    <col min="6646" max="6646" width="5.140625" style="580" customWidth="1"/>
    <col min="6647" max="6647" width="45.5703125" style="580" customWidth="1"/>
    <col min="6648" max="6651" width="21.42578125" style="580" customWidth="1"/>
    <col min="6652" max="6652" width="23.85546875" style="580" customWidth="1"/>
    <col min="6653" max="6655" width="22.85546875" style="580" customWidth="1"/>
    <col min="6656" max="6656" width="21.42578125" style="580" customWidth="1"/>
    <col min="6657" max="6901" width="11.42578125" style="580"/>
    <col min="6902" max="6902" width="5.140625" style="580" customWidth="1"/>
    <col min="6903" max="6903" width="45.5703125" style="580" customWidth="1"/>
    <col min="6904" max="6907" width="21.42578125" style="580" customWidth="1"/>
    <col min="6908" max="6908" width="23.85546875" style="580" customWidth="1"/>
    <col min="6909" max="6911" width="22.85546875" style="580" customWidth="1"/>
    <col min="6912" max="6912" width="21.42578125" style="580" customWidth="1"/>
    <col min="6913" max="7157" width="11.42578125" style="580"/>
    <col min="7158" max="7158" width="5.140625" style="580" customWidth="1"/>
    <col min="7159" max="7159" width="45.5703125" style="580" customWidth="1"/>
    <col min="7160" max="7163" width="21.42578125" style="580" customWidth="1"/>
    <col min="7164" max="7164" width="23.85546875" style="580" customWidth="1"/>
    <col min="7165" max="7167" width="22.85546875" style="580" customWidth="1"/>
    <col min="7168" max="7168" width="21.42578125" style="580" customWidth="1"/>
    <col min="7169" max="7413" width="11.42578125" style="580"/>
    <col min="7414" max="7414" width="5.140625" style="580" customWidth="1"/>
    <col min="7415" max="7415" width="45.5703125" style="580" customWidth="1"/>
    <col min="7416" max="7419" width="21.42578125" style="580" customWidth="1"/>
    <col min="7420" max="7420" width="23.85546875" style="580" customWidth="1"/>
    <col min="7421" max="7423" width="22.85546875" style="580" customWidth="1"/>
    <col min="7424" max="7424" width="21.42578125" style="580" customWidth="1"/>
    <col min="7425" max="7669" width="11.42578125" style="580"/>
    <col min="7670" max="7670" width="5.140625" style="580" customWidth="1"/>
    <col min="7671" max="7671" width="45.5703125" style="580" customWidth="1"/>
    <col min="7672" max="7675" width="21.42578125" style="580" customWidth="1"/>
    <col min="7676" max="7676" width="23.85546875" style="580" customWidth="1"/>
    <col min="7677" max="7679" width="22.85546875" style="580" customWidth="1"/>
    <col min="7680" max="7680" width="21.42578125" style="580" customWidth="1"/>
    <col min="7681" max="7925" width="11.42578125" style="580"/>
    <col min="7926" max="7926" width="5.140625" style="580" customWidth="1"/>
    <col min="7927" max="7927" width="45.5703125" style="580" customWidth="1"/>
    <col min="7928" max="7931" width="21.42578125" style="580" customWidth="1"/>
    <col min="7932" max="7932" width="23.85546875" style="580" customWidth="1"/>
    <col min="7933" max="7935" width="22.85546875" style="580" customWidth="1"/>
    <col min="7936" max="7936" width="21.42578125" style="580" customWidth="1"/>
    <col min="7937" max="8181" width="11.42578125" style="580"/>
    <col min="8182" max="8182" width="5.140625" style="580" customWidth="1"/>
    <col min="8183" max="8183" width="45.5703125" style="580" customWidth="1"/>
    <col min="8184" max="8187" width="21.42578125" style="580" customWidth="1"/>
    <col min="8188" max="8188" width="23.85546875" style="580" customWidth="1"/>
    <col min="8189" max="8191" width="22.85546875" style="580" customWidth="1"/>
    <col min="8192" max="8192" width="21.42578125" style="580" customWidth="1"/>
    <col min="8193" max="8437" width="11.42578125" style="580"/>
    <col min="8438" max="8438" width="5.140625" style="580" customWidth="1"/>
    <col min="8439" max="8439" width="45.5703125" style="580" customWidth="1"/>
    <col min="8440" max="8443" width="21.42578125" style="580" customWidth="1"/>
    <col min="8444" max="8444" width="23.85546875" style="580" customWidth="1"/>
    <col min="8445" max="8447" width="22.85546875" style="580" customWidth="1"/>
    <col min="8448" max="8448" width="21.42578125" style="580" customWidth="1"/>
    <col min="8449" max="8693" width="11.42578125" style="580"/>
    <col min="8694" max="8694" width="5.140625" style="580" customWidth="1"/>
    <col min="8695" max="8695" width="45.5703125" style="580" customWidth="1"/>
    <col min="8696" max="8699" width="21.42578125" style="580" customWidth="1"/>
    <col min="8700" max="8700" width="23.85546875" style="580" customWidth="1"/>
    <col min="8701" max="8703" width="22.85546875" style="580" customWidth="1"/>
    <col min="8704" max="8704" width="21.42578125" style="580" customWidth="1"/>
    <col min="8705" max="8949" width="11.42578125" style="580"/>
    <col min="8950" max="8950" width="5.140625" style="580" customWidth="1"/>
    <col min="8951" max="8951" width="45.5703125" style="580" customWidth="1"/>
    <col min="8952" max="8955" width="21.42578125" style="580" customWidth="1"/>
    <col min="8956" max="8956" width="23.85546875" style="580" customWidth="1"/>
    <col min="8957" max="8959" width="22.85546875" style="580" customWidth="1"/>
    <col min="8960" max="8960" width="21.42578125" style="580" customWidth="1"/>
    <col min="8961" max="9205" width="11.42578125" style="580"/>
    <col min="9206" max="9206" width="5.140625" style="580" customWidth="1"/>
    <col min="9207" max="9207" width="45.5703125" style="580" customWidth="1"/>
    <col min="9208" max="9211" width="21.42578125" style="580" customWidth="1"/>
    <col min="9212" max="9212" width="23.85546875" style="580" customWidth="1"/>
    <col min="9213" max="9215" width="22.85546875" style="580" customWidth="1"/>
    <col min="9216" max="9216" width="21.42578125" style="580" customWidth="1"/>
    <col min="9217" max="9461" width="11.42578125" style="580"/>
    <col min="9462" max="9462" width="5.140625" style="580" customWidth="1"/>
    <col min="9463" max="9463" width="45.5703125" style="580" customWidth="1"/>
    <col min="9464" max="9467" width="21.42578125" style="580" customWidth="1"/>
    <col min="9468" max="9468" width="23.85546875" style="580" customWidth="1"/>
    <col min="9469" max="9471" width="22.85546875" style="580" customWidth="1"/>
    <col min="9472" max="9472" width="21.42578125" style="580" customWidth="1"/>
    <col min="9473" max="9717" width="11.42578125" style="580"/>
    <col min="9718" max="9718" width="5.140625" style="580" customWidth="1"/>
    <col min="9719" max="9719" width="45.5703125" style="580" customWidth="1"/>
    <col min="9720" max="9723" width="21.42578125" style="580" customWidth="1"/>
    <col min="9724" max="9724" width="23.85546875" style="580" customWidth="1"/>
    <col min="9725" max="9727" width="22.85546875" style="580" customWidth="1"/>
    <col min="9728" max="9728" width="21.42578125" style="580" customWidth="1"/>
    <col min="9729" max="9973" width="11.42578125" style="580"/>
    <col min="9974" max="9974" width="5.140625" style="580" customWidth="1"/>
    <col min="9975" max="9975" width="45.5703125" style="580" customWidth="1"/>
    <col min="9976" max="9979" width="21.42578125" style="580" customWidth="1"/>
    <col min="9980" max="9980" width="23.85546875" style="580" customWidth="1"/>
    <col min="9981" max="9983" width="22.85546875" style="580" customWidth="1"/>
    <col min="9984" max="9984" width="21.42578125" style="580" customWidth="1"/>
    <col min="9985" max="10229" width="11.42578125" style="580"/>
    <col min="10230" max="10230" width="5.140625" style="580" customWidth="1"/>
    <col min="10231" max="10231" width="45.5703125" style="580" customWidth="1"/>
    <col min="10232" max="10235" width="21.42578125" style="580" customWidth="1"/>
    <col min="10236" max="10236" width="23.85546875" style="580" customWidth="1"/>
    <col min="10237" max="10239" width="22.85546875" style="580" customWidth="1"/>
    <col min="10240" max="10240" width="21.42578125" style="580" customWidth="1"/>
    <col min="10241" max="10485" width="11.42578125" style="580"/>
    <col min="10486" max="10486" width="5.140625" style="580" customWidth="1"/>
    <col min="10487" max="10487" width="45.5703125" style="580" customWidth="1"/>
    <col min="10488" max="10491" width="21.42578125" style="580" customWidth="1"/>
    <col min="10492" max="10492" width="23.85546875" style="580" customWidth="1"/>
    <col min="10493" max="10495" width="22.85546875" style="580" customWidth="1"/>
    <col min="10496" max="10496" width="21.42578125" style="580" customWidth="1"/>
    <col min="10497" max="10741" width="11.42578125" style="580"/>
    <col min="10742" max="10742" width="5.140625" style="580" customWidth="1"/>
    <col min="10743" max="10743" width="45.5703125" style="580" customWidth="1"/>
    <col min="10744" max="10747" width="21.42578125" style="580" customWidth="1"/>
    <col min="10748" max="10748" width="23.85546875" style="580" customWidth="1"/>
    <col min="10749" max="10751" width="22.85546875" style="580" customWidth="1"/>
    <col min="10752" max="10752" width="21.42578125" style="580" customWidth="1"/>
    <col min="10753" max="10997" width="11.42578125" style="580"/>
    <col min="10998" max="10998" width="5.140625" style="580" customWidth="1"/>
    <col min="10999" max="10999" width="45.5703125" style="580" customWidth="1"/>
    <col min="11000" max="11003" width="21.42578125" style="580" customWidth="1"/>
    <col min="11004" max="11004" width="23.85546875" style="580" customWidth="1"/>
    <col min="11005" max="11007" width="22.85546875" style="580" customWidth="1"/>
    <col min="11008" max="11008" width="21.42578125" style="580" customWidth="1"/>
    <col min="11009" max="11253" width="11.42578125" style="580"/>
    <col min="11254" max="11254" width="5.140625" style="580" customWidth="1"/>
    <col min="11255" max="11255" width="45.5703125" style="580" customWidth="1"/>
    <col min="11256" max="11259" width="21.42578125" style="580" customWidth="1"/>
    <col min="11260" max="11260" width="23.85546875" style="580" customWidth="1"/>
    <col min="11261" max="11263" width="22.85546875" style="580" customWidth="1"/>
    <col min="11264" max="11264" width="21.42578125" style="580" customWidth="1"/>
    <col min="11265" max="11509" width="11.42578125" style="580"/>
    <col min="11510" max="11510" width="5.140625" style="580" customWidth="1"/>
    <col min="11511" max="11511" width="45.5703125" style="580" customWidth="1"/>
    <col min="11512" max="11515" width="21.42578125" style="580" customWidth="1"/>
    <col min="11516" max="11516" width="23.85546875" style="580" customWidth="1"/>
    <col min="11517" max="11519" width="22.85546875" style="580" customWidth="1"/>
    <col min="11520" max="11520" width="21.42578125" style="580" customWidth="1"/>
    <col min="11521" max="11765" width="11.42578125" style="580"/>
    <col min="11766" max="11766" width="5.140625" style="580" customWidth="1"/>
    <col min="11767" max="11767" width="45.5703125" style="580" customWidth="1"/>
    <col min="11768" max="11771" width="21.42578125" style="580" customWidth="1"/>
    <col min="11772" max="11772" width="23.85546875" style="580" customWidth="1"/>
    <col min="11773" max="11775" width="22.85546875" style="580" customWidth="1"/>
    <col min="11776" max="11776" width="21.42578125" style="580" customWidth="1"/>
    <col min="11777" max="12021" width="11.42578125" style="580"/>
    <col min="12022" max="12022" width="5.140625" style="580" customWidth="1"/>
    <col min="12023" max="12023" width="45.5703125" style="580" customWidth="1"/>
    <col min="12024" max="12027" width="21.42578125" style="580" customWidth="1"/>
    <col min="12028" max="12028" width="23.85546875" style="580" customWidth="1"/>
    <col min="12029" max="12031" width="22.85546875" style="580" customWidth="1"/>
    <col min="12032" max="12032" width="21.42578125" style="580" customWidth="1"/>
    <col min="12033" max="12277" width="11.42578125" style="580"/>
    <col min="12278" max="12278" width="5.140625" style="580" customWidth="1"/>
    <col min="12279" max="12279" width="45.5703125" style="580" customWidth="1"/>
    <col min="12280" max="12283" width="21.42578125" style="580" customWidth="1"/>
    <col min="12284" max="12284" width="23.85546875" style="580" customWidth="1"/>
    <col min="12285" max="12287" width="22.85546875" style="580" customWidth="1"/>
    <col min="12288" max="12288" width="21.42578125" style="580" customWidth="1"/>
    <col min="12289" max="12533" width="11.42578125" style="580"/>
    <col min="12534" max="12534" width="5.140625" style="580" customWidth="1"/>
    <col min="12535" max="12535" width="45.5703125" style="580" customWidth="1"/>
    <col min="12536" max="12539" width="21.42578125" style="580" customWidth="1"/>
    <col min="12540" max="12540" width="23.85546875" style="580" customWidth="1"/>
    <col min="12541" max="12543" width="22.85546875" style="580" customWidth="1"/>
    <col min="12544" max="12544" width="21.42578125" style="580" customWidth="1"/>
    <col min="12545" max="12789" width="11.42578125" style="580"/>
    <col min="12790" max="12790" width="5.140625" style="580" customWidth="1"/>
    <col min="12791" max="12791" width="45.5703125" style="580" customWidth="1"/>
    <col min="12792" max="12795" width="21.42578125" style="580" customWidth="1"/>
    <col min="12796" max="12796" width="23.85546875" style="580" customWidth="1"/>
    <col min="12797" max="12799" width="22.85546875" style="580" customWidth="1"/>
    <col min="12800" max="12800" width="21.42578125" style="580" customWidth="1"/>
    <col min="12801" max="13045" width="11.42578125" style="580"/>
    <col min="13046" max="13046" width="5.140625" style="580" customWidth="1"/>
    <col min="13047" max="13047" width="45.5703125" style="580" customWidth="1"/>
    <col min="13048" max="13051" width="21.42578125" style="580" customWidth="1"/>
    <col min="13052" max="13052" width="23.85546875" style="580" customWidth="1"/>
    <col min="13053" max="13055" width="22.85546875" style="580" customWidth="1"/>
    <col min="13056" max="13056" width="21.42578125" style="580" customWidth="1"/>
    <col min="13057" max="13301" width="11.42578125" style="580"/>
    <col min="13302" max="13302" width="5.140625" style="580" customWidth="1"/>
    <col min="13303" max="13303" width="45.5703125" style="580" customWidth="1"/>
    <col min="13304" max="13307" width="21.42578125" style="580" customWidth="1"/>
    <col min="13308" max="13308" width="23.85546875" style="580" customWidth="1"/>
    <col min="13309" max="13311" width="22.85546875" style="580" customWidth="1"/>
    <col min="13312" max="13312" width="21.42578125" style="580" customWidth="1"/>
    <col min="13313" max="13557" width="11.42578125" style="580"/>
    <col min="13558" max="13558" width="5.140625" style="580" customWidth="1"/>
    <col min="13559" max="13559" width="45.5703125" style="580" customWidth="1"/>
    <col min="13560" max="13563" width="21.42578125" style="580" customWidth="1"/>
    <col min="13564" max="13564" width="23.85546875" style="580" customWidth="1"/>
    <col min="13565" max="13567" width="22.85546875" style="580" customWidth="1"/>
    <col min="13568" max="13568" width="21.42578125" style="580" customWidth="1"/>
    <col min="13569" max="13813" width="11.42578125" style="580"/>
    <col min="13814" max="13814" width="5.140625" style="580" customWidth="1"/>
    <col min="13815" max="13815" width="45.5703125" style="580" customWidth="1"/>
    <col min="13816" max="13819" width="21.42578125" style="580" customWidth="1"/>
    <col min="13820" max="13820" width="23.85546875" style="580" customWidth="1"/>
    <col min="13821" max="13823" width="22.85546875" style="580" customWidth="1"/>
    <col min="13824" max="13824" width="21.42578125" style="580" customWidth="1"/>
    <col min="13825" max="14069" width="11.42578125" style="580"/>
    <col min="14070" max="14070" width="5.140625" style="580" customWidth="1"/>
    <col min="14071" max="14071" width="45.5703125" style="580" customWidth="1"/>
    <col min="14072" max="14075" width="21.42578125" style="580" customWidth="1"/>
    <col min="14076" max="14076" width="23.85546875" style="580" customWidth="1"/>
    <col min="14077" max="14079" width="22.85546875" style="580" customWidth="1"/>
    <col min="14080" max="14080" width="21.42578125" style="580" customWidth="1"/>
    <col min="14081" max="14325" width="11.42578125" style="580"/>
    <col min="14326" max="14326" width="5.140625" style="580" customWidth="1"/>
    <col min="14327" max="14327" width="45.5703125" style="580" customWidth="1"/>
    <col min="14328" max="14331" width="21.42578125" style="580" customWidth="1"/>
    <col min="14332" max="14332" width="23.85546875" style="580" customWidth="1"/>
    <col min="14333" max="14335" width="22.85546875" style="580" customWidth="1"/>
    <col min="14336" max="14336" width="21.42578125" style="580" customWidth="1"/>
    <col min="14337" max="14581" width="11.42578125" style="580"/>
    <col min="14582" max="14582" width="5.140625" style="580" customWidth="1"/>
    <col min="14583" max="14583" width="45.5703125" style="580" customWidth="1"/>
    <col min="14584" max="14587" width="21.42578125" style="580" customWidth="1"/>
    <col min="14588" max="14588" width="23.85546875" style="580" customWidth="1"/>
    <col min="14589" max="14591" width="22.85546875" style="580" customWidth="1"/>
    <col min="14592" max="14592" width="21.42578125" style="580" customWidth="1"/>
    <col min="14593" max="14837" width="11.42578125" style="580"/>
    <col min="14838" max="14838" width="5.140625" style="580" customWidth="1"/>
    <col min="14839" max="14839" width="45.5703125" style="580" customWidth="1"/>
    <col min="14840" max="14843" width="21.42578125" style="580" customWidth="1"/>
    <col min="14844" max="14844" width="23.85546875" style="580" customWidth="1"/>
    <col min="14845" max="14847" width="22.85546875" style="580" customWidth="1"/>
    <col min="14848" max="14848" width="21.42578125" style="580" customWidth="1"/>
    <col min="14849" max="15093" width="11.42578125" style="580"/>
    <col min="15094" max="15094" width="5.140625" style="580" customWidth="1"/>
    <col min="15095" max="15095" width="45.5703125" style="580" customWidth="1"/>
    <col min="15096" max="15099" width="21.42578125" style="580" customWidth="1"/>
    <col min="15100" max="15100" width="23.85546875" style="580" customWidth="1"/>
    <col min="15101" max="15103" width="22.85546875" style="580" customWidth="1"/>
    <col min="15104" max="15104" width="21.42578125" style="580" customWidth="1"/>
    <col min="15105" max="15349" width="11.42578125" style="580"/>
    <col min="15350" max="15350" width="5.140625" style="580" customWidth="1"/>
    <col min="15351" max="15351" width="45.5703125" style="580" customWidth="1"/>
    <col min="15352" max="15355" width="21.42578125" style="580" customWidth="1"/>
    <col min="15356" max="15356" width="23.85546875" style="580" customWidth="1"/>
    <col min="15357" max="15359" width="22.85546875" style="580" customWidth="1"/>
    <col min="15360" max="15360" width="21.42578125" style="580" customWidth="1"/>
    <col min="15361" max="15605" width="11.42578125" style="580"/>
    <col min="15606" max="15606" width="5.140625" style="580" customWidth="1"/>
    <col min="15607" max="15607" width="45.5703125" style="580" customWidth="1"/>
    <col min="15608" max="15611" width="21.42578125" style="580" customWidth="1"/>
    <col min="15612" max="15612" width="23.85546875" style="580" customWidth="1"/>
    <col min="15613" max="15615" width="22.85546875" style="580" customWidth="1"/>
    <col min="15616" max="15616" width="21.42578125" style="580" customWidth="1"/>
    <col min="15617" max="15861" width="11.42578125" style="580"/>
    <col min="15862" max="15862" width="5.140625" style="580" customWidth="1"/>
    <col min="15863" max="15863" width="45.5703125" style="580" customWidth="1"/>
    <col min="15864" max="15867" width="21.42578125" style="580" customWidth="1"/>
    <col min="15868" max="15868" width="23.85546875" style="580" customWidth="1"/>
    <col min="15869" max="15871" width="22.85546875" style="580" customWidth="1"/>
    <col min="15872" max="15872" width="21.42578125" style="580" customWidth="1"/>
    <col min="15873" max="16117" width="11.42578125" style="580"/>
    <col min="16118" max="16118" width="5.140625" style="580" customWidth="1"/>
    <col min="16119" max="16119" width="45.5703125" style="580" customWidth="1"/>
    <col min="16120" max="16123" width="21.42578125" style="580" customWidth="1"/>
    <col min="16124" max="16124" width="23.85546875" style="580" customWidth="1"/>
    <col min="16125" max="16127" width="22.85546875" style="580" customWidth="1"/>
    <col min="16128" max="16128" width="21.42578125" style="580" customWidth="1"/>
    <col min="16129" max="16384" width="11.42578125" style="580"/>
  </cols>
  <sheetData>
    <row r="1" spans="1:7" ht="17.25" customHeight="1" x14ac:dyDescent="0.2"/>
    <row r="2" spans="1:7" ht="17.25" customHeight="1" x14ac:dyDescent="0.2"/>
    <row r="3" spans="1:7" ht="17.25" customHeight="1" x14ac:dyDescent="0.2"/>
    <row r="4" spans="1:7" ht="17.25" customHeight="1" x14ac:dyDescent="0.2">
      <c r="A4" s="581"/>
    </row>
    <row r="5" spans="1:7" ht="32.25" customHeight="1" thickBot="1" x14ac:dyDescent="0.25">
      <c r="A5" s="630" t="s">
        <v>2572</v>
      </c>
      <c r="B5" s="631"/>
      <c r="C5" s="631"/>
      <c r="D5" s="631"/>
      <c r="E5" s="631"/>
      <c r="F5" s="631"/>
      <c r="G5" s="631"/>
    </row>
    <row r="6" spans="1:7" ht="4.5" customHeight="1" thickTop="1" thickBot="1" x14ac:dyDescent="0.25">
      <c r="A6" s="582"/>
    </row>
    <row r="7" spans="1:7" ht="24.75" customHeight="1" thickTop="1" x14ac:dyDescent="0.2">
      <c r="A7" s="632" t="s">
        <v>2484</v>
      </c>
      <c r="B7" s="633"/>
      <c r="C7" s="633"/>
      <c r="D7" s="633"/>
      <c r="E7" s="633"/>
      <c r="F7" s="633"/>
      <c r="G7" s="633"/>
    </row>
    <row r="8" spans="1:7" ht="8.25" customHeight="1" x14ac:dyDescent="0.2">
      <c r="A8" s="42"/>
    </row>
    <row r="9" spans="1:7" ht="18" customHeight="1" x14ac:dyDescent="0.2">
      <c r="A9" s="583" t="s">
        <v>2183</v>
      </c>
      <c r="C9" s="583" t="s">
        <v>2184</v>
      </c>
      <c r="E9" s="583" t="s">
        <v>2185</v>
      </c>
      <c r="G9" s="583" t="s">
        <v>2186</v>
      </c>
    </row>
    <row r="10" spans="1:7" ht="18" customHeight="1" x14ac:dyDescent="0.25">
      <c r="A10" s="594" t="s">
        <v>2187</v>
      </c>
      <c r="C10" s="594" t="s">
        <v>2188</v>
      </c>
      <c r="E10" s="594" t="s">
        <v>2189</v>
      </c>
      <c r="G10" s="594" t="s">
        <v>2447</v>
      </c>
    </row>
    <row r="11" spans="1:7" ht="18" customHeight="1" x14ac:dyDescent="0.25">
      <c r="A11" s="583" t="s">
        <v>2190</v>
      </c>
      <c r="C11" s="594" t="s">
        <v>2191</v>
      </c>
      <c r="E11" s="594" t="s">
        <v>2192</v>
      </c>
      <c r="G11" s="594" t="s">
        <v>2193</v>
      </c>
    </row>
    <row r="12" spans="1:7" ht="18" customHeight="1" x14ac:dyDescent="0.25">
      <c r="A12" s="594" t="s">
        <v>2194</v>
      </c>
      <c r="C12" s="594" t="s">
        <v>2195</v>
      </c>
      <c r="E12" s="594" t="s">
        <v>2196</v>
      </c>
      <c r="G12" s="594" t="s">
        <v>2197</v>
      </c>
    </row>
    <row r="13" spans="1:7" ht="18" customHeight="1" x14ac:dyDescent="0.25">
      <c r="A13" s="594" t="s">
        <v>2198</v>
      </c>
      <c r="C13" s="594" t="s">
        <v>2199</v>
      </c>
      <c r="E13" s="594" t="s">
        <v>2200</v>
      </c>
      <c r="G13" s="594" t="s">
        <v>2201</v>
      </c>
    </row>
    <row r="14" spans="1:7" ht="18" customHeight="1" x14ac:dyDescent="0.25">
      <c r="A14" s="594" t="s">
        <v>2202</v>
      </c>
      <c r="C14" s="594" t="s">
        <v>2203</v>
      </c>
      <c r="E14" s="594" t="s">
        <v>2204</v>
      </c>
      <c r="G14" s="594" t="s">
        <v>2205</v>
      </c>
    </row>
    <row r="15" spans="1:7" ht="18" customHeight="1" x14ac:dyDescent="0.25">
      <c r="A15" s="594" t="s">
        <v>2206</v>
      </c>
      <c r="C15" s="594" t="s">
        <v>2207</v>
      </c>
      <c r="E15" s="594" t="s">
        <v>2208</v>
      </c>
      <c r="G15" s="594" t="s">
        <v>2209</v>
      </c>
    </row>
    <row r="16" spans="1:7" ht="18" customHeight="1" x14ac:dyDescent="0.25">
      <c r="A16" s="594" t="s">
        <v>2210</v>
      </c>
      <c r="C16" s="594" t="s">
        <v>2211</v>
      </c>
      <c r="E16" s="594" t="s">
        <v>2212</v>
      </c>
      <c r="G16" s="594" t="s">
        <v>2213</v>
      </c>
    </row>
    <row r="17" spans="1:7" ht="18" customHeight="1" x14ac:dyDescent="0.25">
      <c r="A17" s="594" t="s">
        <v>2214</v>
      </c>
      <c r="C17" s="594" t="s">
        <v>2215</v>
      </c>
      <c r="E17" s="594" t="s">
        <v>2216</v>
      </c>
      <c r="G17" s="594" t="s">
        <v>2217</v>
      </c>
    </row>
    <row r="18" spans="1:7" ht="18" customHeight="1" x14ac:dyDescent="0.25">
      <c r="A18" s="594" t="s">
        <v>2218</v>
      </c>
      <c r="C18" s="594" t="s">
        <v>2219</v>
      </c>
      <c r="E18" s="594" t="s">
        <v>2220</v>
      </c>
      <c r="G18" s="594" t="s">
        <v>2221</v>
      </c>
    </row>
    <row r="19" spans="1:7" ht="18" customHeight="1" x14ac:dyDescent="0.25">
      <c r="A19" s="594" t="s">
        <v>2222</v>
      </c>
      <c r="C19" s="594" t="s">
        <v>2223</v>
      </c>
      <c r="E19" s="594" t="s">
        <v>2224</v>
      </c>
      <c r="G19" s="594" t="s">
        <v>2225</v>
      </c>
    </row>
    <row r="20" spans="1:7" ht="18" customHeight="1" x14ac:dyDescent="0.25">
      <c r="A20" s="594" t="s">
        <v>2226</v>
      </c>
      <c r="C20" s="594" t="s">
        <v>2227</v>
      </c>
      <c r="E20" s="594" t="s">
        <v>2228</v>
      </c>
      <c r="G20" s="594" t="s">
        <v>2229</v>
      </c>
    </row>
    <row r="21" spans="1:7" ht="18" customHeight="1" x14ac:dyDescent="0.25">
      <c r="A21" s="594" t="s">
        <v>2230</v>
      </c>
      <c r="C21" s="594" t="s">
        <v>2231</v>
      </c>
      <c r="E21" s="594" t="s">
        <v>2232</v>
      </c>
      <c r="G21" s="594" t="s">
        <v>2233</v>
      </c>
    </row>
    <row r="22" spans="1:7" ht="18" customHeight="1" x14ac:dyDescent="0.25">
      <c r="A22" s="594" t="s">
        <v>2234</v>
      </c>
      <c r="C22" s="594" t="s">
        <v>2235</v>
      </c>
      <c r="E22" s="594" t="s">
        <v>2236</v>
      </c>
      <c r="G22" s="594" t="s">
        <v>2237</v>
      </c>
    </row>
    <row r="23" spans="1:7" ht="18" customHeight="1" x14ac:dyDescent="0.25">
      <c r="A23" s="583" t="s">
        <v>2238</v>
      </c>
      <c r="C23" s="594" t="s">
        <v>2239</v>
      </c>
      <c r="E23" s="594" t="s">
        <v>2240</v>
      </c>
      <c r="G23" s="594" t="s">
        <v>2241</v>
      </c>
    </row>
    <row r="24" spans="1:7" ht="18" customHeight="1" x14ac:dyDescent="0.25">
      <c r="A24" s="594" t="s">
        <v>2242</v>
      </c>
      <c r="C24" s="594" t="s">
        <v>2243</v>
      </c>
      <c r="E24" s="594" t="s">
        <v>2244</v>
      </c>
      <c r="G24" s="594" t="s">
        <v>2245</v>
      </c>
    </row>
    <row r="25" spans="1:7" ht="18" customHeight="1" x14ac:dyDescent="0.25">
      <c r="A25" s="594" t="s">
        <v>2246</v>
      </c>
      <c r="C25" s="594" t="s">
        <v>2247</v>
      </c>
      <c r="E25" s="594" t="s">
        <v>2248</v>
      </c>
      <c r="G25" s="594" t="s">
        <v>2249</v>
      </c>
    </row>
    <row r="26" spans="1:7" ht="18" customHeight="1" x14ac:dyDescent="0.25">
      <c r="A26" s="594" t="s">
        <v>2250</v>
      </c>
      <c r="C26" s="594" t="s">
        <v>2251</v>
      </c>
      <c r="E26" s="594" t="s">
        <v>2252</v>
      </c>
      <c r="G26" s="594" t="s">
        <v>2253</v>
      </c>
    </row>
    <row r="27" spans="1:7" ht="18" customHeight="1" x14ac:dyDescent="0.25">
      <c r="A27" s="594" t="s">
        <v>2254</v>
      </c>
      <c r="C27" s="594" t="s">
        <v>2255</v>
      </c>
      <c r="E27" s="594" t="s">
        <v>2256</v>
      </c>
      <c r="G27" s="594" t="s">
        <v>2257</v>
      </c>
    </row>
    <row r="28" spans="1:7" ht="18" customHeight="1" x14ac:dyDescent="0.25">
      <c r="A28" s="594" t="s">
        <v>2258</v>
      </c>
      <c r="C28" s="594" t="s">
        <v>2259</v>
      </c>
      <c r="E28" s="594" t="s">
        <v>2260</v>
      </c>
      <c r="G28" s="594" t="s">
        <v>2261</v>
      </c>
    </row>
    <row r="29" spans="1:7" ht="18" customHeight="1" x14ac:dyDescent="0.25">
      <c r="A29" s="594" t="s">
        <v>2262</v>
      </c>
      <c r="C29" s="594" t="s">
        <v>2263</v>
      </c>
      <c r="E29" s="594" t="s">
        <v>2264</v>
      </c>
      <c r="G29" s="594" t="s">
        <v>2265</v>
      </c>
    </row>
    <row r="30" spans="1:7" ht="18" customHeight="1" x14ac:dyDescent="0.25">
      <c r="A30" s="594" t="s">
        <v>2266</v>
      </c>
      <c r="C30" s="583" t="s">
        <v>2267</v>
      </c>
      <c r="E30" s="594" t="s">
        <v>2268</v>
      </c>
      <c r="G30" s="594" t="s">
        <v>2269</v>
      </c>
    </row>
    <row r="31" spans="1:7" ht="18" customHeight="1" x14ac:dyDescent="0.25">
      <c r="A31" s="594" t="s">
        <v>2270</v>
      </c>
      <c r="C31" s="594" t="s">
        <v>2271</v>
      </c>
      <c r="E31" s="594" t="s">
        <v>2272</v>
      </c>
      <c r="G31" s="594" t="s">
        <v>2273</v>
      </c>
    </row>
    <row r="32" spans="1:7" ht="18" customHeight="1" x14ac:dyDescent="0.25">
      <c r="A32" s="594" t="s">
        <v>2274</v>
      </c>
      <c r="C32" s="594" t="s">
        <v>2275</v>
      </c>
      <c r="E32" s="583" t="s">
        <v>2276</v>
      </c>
      <c r="G32" s="594" t="s">
        <v>2277</v>
      </c>
    </row>
    <row r="33" spans="1:7" ht="18" customHeight="1" x14ac:dyDescent="0.25">
      <c r="A33" s="594" t="s">
        <v>2278</v>
      </c>
      <c r="C33" s="594" t="s">
        <v>2279</v>
      </c>
      <c r="E33" s="594" t="s">
        <v>2280</v>
      </c>
      <c r="G33" s="594" t="s">
        <v>2281</v>
      </c>
    </row>
    <row r="34" spans="1:7" ht="18" customHeight="1" x14ac:dyDescent="0.25">
      <c r="A34" s="594" t="s">
        <v>2282</v>
      </c>
      <c r="C34" s="594" t="s">
        <v>2283</v>
      </c>
      <c r="E34" s="594" t="s">
        <v>2284</v>
      </c>
      <c r="G34" s="594" t="s">
        <v>2285</v>
      </c>
    </row>
    <row r="35" spans="1:7" ht="18" customHeight="1" x14ac:dyDescent="0.25">
      <c r="A35" s="594" t="s">
        <v>2286</v>
      </c>
      <c r="C35" s="594" t="s">
        <v>2287</v>
      </c>
      <c r="E35" s="594" t="s">
        <v>2288</v>
      </c>
      <c r="G35" s="594" t="s">
        <v>2289</v>
      </c>
    </row>
    <row r="36" spans="1:7" ht="18" customHeight="1" x14ac:dyDescent="0.25">
      <c r="A36" s="594" t="s">
        <v>2290</v>
      </c>
      <c r="C36" s="594" t="s">
        <v>2291</v>
      </c>
      <c r="E36" s="594" t="s">
        <v>2292</v>
      </c>
      <c r="G36" s="594" t="s">
        <v>2293</v>
      </c>
    </row>
    <row r="37" spans="1:7" ht="18" customHeight="1" x14ac:dyDescent="0.25">
      <c r="A37" s="594" t="s">
        <v>2294</v>
      </c>
      <c r="C37" s="594" t="s">
        <v>2451</v>
      </c>
      <c r="E37" s="594" t="s">
        <v>2295</v>
      </c>
      <c r="G37" s="594" t="s">
        <v>2296</v>
      </c>
    </row>
    <row r="38" spans="1:7" ht="18" customHeight="1" x14ac:dyDescent="0.25">
      <c r="A38" s="594" t="s">
        <v>2297</v>
      </c>
      <c r="C38" s="594" t="s">
        <v>2298</v>
      </c>
      <c r="E38" s="594" t="s">
        <v>2299</v>
      </c>
      <c r="G38" s="594" t="s">
        <v>2300</v>
      </c>
    </row>
    <row r="39" spans="1:7" ht="18" customHeight="1" x14ac:dyDescent="0.25">
      <c r="A39" s="594" t="s">
        <v>2301</v>
      </c>
      <c r="C39" s="594" t="s">
        <v>2302</v>
      </c>
      <c r="E39" s="594" t="s">
        <v>2303</v>
      </c>
      <c r="G39" s="594" t="s">
        <v>2304</v>
      </c>
    </row>
    <row r="40" spans="1:7" ht="18" customHeight="1" x14ac:dyDescent="0.25">
      <c r="A40" s="594" t="s">
        <v>2305</v>
      </c>
      <c r="C40" s="594" t="s">
        <v>2306</v>
      </c>
      <c r="E40" s="594" t="s">
        <v>2307</v>
      </c>
    </row>
    <row r="41" spans="1:7" ht="18" customHeight="1" x14ac:dyDescent="0.25">
      <c r="A41" s="594" t="s">
        <v>2308</v>
      </c>
      <c r="C41" s="594" t="s">
        <v>2454</v>
      </c>
      <c r="E41" s="594" t="s">
        <v>2309</v>
      </c>
      <c r="G41" s="583" t="s">
        <v>2310</v>
      </c>
    </row>
    <row r="42" spans="1:7" ht="18" customHeight="1" x14ac:dyDescent="0.25">
      <c r="A42" s="594" t="s">
        <v>2311</v>
      </c>
      <c r="C42" s="594" t="s">
        <v>2312</v>
      </c>
      <c r="E42" s="594" t="s">
        <v>2313</v>
      </c>
      <c r="G42" s="594" t="s">
        <v>2314</v>
      </c>
    </row>
    <row r="43" spans="1:7" ht="18" customHeight="1" x14ac:dyDescent="0.25">
      <c r="A43" s="594" t="s">
        <v>2315</v>
      </c>
      <c r="C43" s="594" t="s">
        <v>2316</v>
      </c>
      <c r="E43" s="594" t="s">
        <v>2317</v>
      </c>
      <c r="G43" s="594" t="s">
        <v>2318</v>
      </c>
    </row>
    <row r="44" spans="1:7" ht="18" customHeight="1" x14ac:dyDescent="0.25">
      <c r="C44" s="594" t="s">
        <v>2319</v>
      </c>
      <c r="G44" s="594" t="s">
        <v>2320</v>
      </c>
    </row>
    <row r="45" spans="1:7" ht="18" customHeight="1" x14ac:dyDescent="0.25">
      <c r="A45" s="583" t="s">
        <v>2321</v>
      </c>
      <c r="C45" s="594" t="s">
        <v>2322</v>
      </c>
      <c r="E45" s="583" t="s">
        <v>2323</v>
      </c>
      <c r="G45" s="594" t="s">
        <v>2324</v>
      </c>
    </row>
    <row r="46" spans="1:7" ht="18" customHeight="1" x14ac:dyDescent="0.25">
      <c r="A46" s="594" t="s">
        <v>2325</v>
      </c>
      <c r="C46" s="594" t="s">
        <v>2326</v>
      </c>
      <c r="E46" s="594" t="s">
        <v>2327</v>
      </c>
      <c r="G46" s="594" t="s">
        <v>2328</v>
      </c>
    </row>
    <row r="47" spans="1:7" ht="18" customHeight="1" x14ac:dyDescent="0.25">
      <c r="A47" s="594" t="s">
        <v>2329</v>
      </c>
      <c r="C47" s="594" t="s">
        <v>2330</v>
      </c>
      <c r="E47" s="594" t="s">
        <v>2331</v>
      </c>
      <c r="G47" s="594" t="s">
        <v>2332</v>
      </c>
    </row>
    <row r="48" spans="1:7" ht="18" customHeight="1" x14ac:dyDescent="0.25">
      <c r="A48" s="594" t="s">
        <v>2333</v>
      </c>
      <c r="C48" s="594" t="s">
        <v>2334</v>
      </c>
      <c r="E48" s="594" t="s">
        <v>2335</v>
      </c>
      <c r="G48" s="594" t="s">
        <v>2336</v>
      </c>
    </row>
    <row r="49" spans="1:7" ht="18" customHeight="1" x14ac:dyDescent="0.25">
      <c r="A49" s="594" t="s">
        <v>2337</v>
      </c>
      <c r="E49" s="594" t="s">
        <v>2338</v>
      </c>
      <c r="G49" s="594" t="s">
        <v>2339</v>
      </c>
    </row>
    <row r="50" spans="1:7" ht="18" customHeight="1" x14ac:dyDescent="0.25">
      <c r="A50" s="594" t="s">
        <v>2340</v>
      </c>
      <c r="C50" s="583" t="s">
        <v>2341</v>
      </c>
      <c r="E50" s="594" t="s">
        <v>2342</v>
      </c>
      <c r="G50" s="594" t="s">
        <v>2343</v>
      </c>
    </row>
    <row r="51" spans="1:7" ht="18" customHeight="1" x14ac:dyDescent="0.25">
      <c r="A51" s="594" t="s">
        <v>2467</v>
      </c>
      <c r="C51" s="594" t="s">
        <v>2344</v>
      </c>
      <c r="E51" s="594" t="s">
        <v>2345</v>
      </c>
      <c r="G51" s="594" t="s">
        <v>2346</v>
      </c>
    </row>
    <row r="52" spans="1:7" ht="18" customHeight="1" x14ac:dyDescent="0.25">
      <c r="A52" s="594" t="s">
        <v>2347</v>
      </c>
      <c r="C52" s="594" t="s">
        <v>2348</v>
      </c>
      <c r="E52" s="594" t="s">
        <v>2349</v>
      </c>
      <c r="G52" s="594" t="s">
        <v>2350</v>
      </c>
    </row>
    <row r="53" spans="1:7" ht="18" customHeight="1" x14ac:dyDescent="0.25">
      <c r="A53" s="594" t="s">
        <v>2351</v>
      </c>
      <c r="C53" s="594" t="s">
        <v>2352</v>
      </c>
      <c r="E53" s="594" t="s">
        <v>2353</v>
      </c>
      <c r="G53" s="594" t="s">
        <v>2354</v>
      </c>
    </row>
    <row r="54" spans="1:7" ht="18" customHeight="1" x14ac:dyDescent="0.25">
      <c r="A54" s="594" t="s">
        <v>2355</v>
      </c>
      <c r="C54" s="594" t="s">
        <v>2356</v>
      </c>
      <c r="E54" s="594" t="s">
        <v>2357</v>
      </c>
      <c r="G54" s="594" t="s">
        <v>2358</v>
      </c>
    </row>
    <row r="55" spans="1:7" ht="18" customHeight="1" x14ac:dyDescent="0.25">
      <c r="A55" s="594" t="s">
        <v>2359</v>
      </c>
      <c r="C55" s="594" t="s">
        <v>2360</v>
      </c>
      <c r="E55" s="594" t="s">
        <v>2361</v>
      </c>
      <c r="G55" s="594" t="s">
        <v>2362</v>
      </c>
    </row>
    <row r="56" spans="1:7" ht="18" customHeight="1" x14ac:dyDescent="0.25">
      <c r="C56" s="594" t="s">
        <v>2363</v>
      </c>
      <c r="E56" s="594" t="s">
        <v>2364</v>
      </c>
      <c r="G56" s="594" t="s">
        <v>2365</v>
      </c>
    </row>
    <row r="57" spans="1:7" ht="18" customHeight="1" x14ac:dyDescent="0.25">
      <c r="A57" s="583" t="s">
        <v>2366</v>
      </c>
      <c r="C57" s="594" t="s">
        <v>2367</v>
      </c>
      <c r="E57" s="594" t="s">
        <v>2368</v>
      </c>
      <c r="G57" s="594" t="s">
        <v>2369</v>
      </c>
    </row>
    <row r="58" spans="1:7" ht="18" customHeight="1" x14ac:dyDescent="0.25">
      <c r="A58" s="594" t="s">
        <v>2370</v>
      </c>
      <c r="C58" s="594" t="s">
        <v>2371</v>
      </c>
      <c r="E58" s="594" t="s">
        <v>2372</v>
      </c>
      <c r="G58" s="583" t="s">
        <v>2373</v>
      </c>
    </row>
    <row r="59" spans="1:7" ht="18" customHeight="1" x14ac:dyDescent="0.25">
      <c r="A59" s="594" t="s">
        <v>2374</v>
      </c>
      <c r="C59" s="594" t="s">
        <v>2375</v>
      </c>
      <c r="E59" s="594" t="s">
        <v>2376</v>
      </c>
      <c r="G59" s="594" t="s">
        <v>2377</v>
      </c>
    </row>
    <row r="60" spans="1:7" ht="18" customHeight="1" x14ac:dyDescent="0.25">
      <c r="A60" s="594" t="s">
        <v>2378</v>
      </c>
      <c r="C60" s="594" t="s">
        <v>2379</v>
      </c>
      <c r="E60" s="594" t="s">
        <v>2380</v>
      </c>
      <c r="G60" s="594" t="s">
        <v>2381</v>
      </c>
    </row>
    <row r="61" spans="1:7" ht="18" customHeight="1" x14ac:dyDescent="0.25">
      <c r="A61" s="594" t="s">
        <v>2382</v>
      </c>
      <c r="C61" s="594" t="s">
        <v>2383</v>
      </c>
      <c r="E61" s="594" t="s">
        <v>2384</v>
      </c>
      <c r="G61" s="594" t="s">
        <v>2385</v>
      </c>
    </row>
    <row r="62" spans="1:7" ht="18" customHeight="1" x14ac:dyDescent="0.25">
      <c r="A62" s="594" t="s">
        <v>2386</v>
      </c>
      <c r="C62" s="594" t="s">
        <v>2387</v>
      </c>
      <c r="E62" s="594" t="s">
        <v>2388</v>
      </c>
      <c r="G62" s="594" t="s">
        <v>2389</v>
      </c>
    </row>
    <row r="63" spans="1:7" ht="18" customHeight="1" x14ac:dyDescent="0.25">
      <c r="A63" s="594" t="s">
        <v>2390</v>
      </c>
      <c r="C63" s="594" t="s">
        <v>2391</v>
      </c>
      <c r="E63" s="594" t="s">
        <v>2392</v>
      </c>
      <c r="G63" s="594" t="s">
        <v>2393</v>
      </c>
    </row>
    <row r="64" spans="1:7" ht="18" customHeight="1" x14ac:dyDescent="0.25">
      <c r="A64" s="594" t="s">
        <v>2394</v>
      </c>
      <c r="C64" s="594" t="s">
        <v>2395</v>
      </c>
      <c r="E64" s="594" t="s">
        <v>2396</v>
      </c>
    </row>
    <row r="65" spans="1:7" ht="18" customHeight="1" x14ac:dyDescent="0.25">
      <c r="A65" s="594" t="s">
        <v>2397</v>
      </c>
      <c r="C65" s="594" t="s">
        <v>2398</v>
      </c>
      <c r="G65" s="583" t="s">
        <v>2399</v>
      </c>
    </row>
    <row r="66" spans="1:7" ht="18" customHeight="1" x14ac:dyDescent="0.25">
      <c r="A66" s="594" t="s">
        <v>2400</v>
      </c>
      <c r="C66" s="594" t="s">
        <v>2401</v>
      </c>
      <c r="E66" s="583" t="s">
        <v>2402</v>
      </c>
      <c r="G66" s="594" t="s">
        <v>2403</v>
      </c>
    </row>
    <row r="67" spans="1:7" ht="18" customHeight="1" x14ac:dyDescent="0.25">
      <c r="A67" s="594" t="s">
        <v>2404</v>
      </c>
      <c r="C67" s="594" t="s">
        <v>2405</v>
      </c>
      <c r="E67" s="594" t="s">
        <v>2406</v>
      </c>
      <c r="G67" s="594" t="s">
        <v>2407</v>
      </c>
    </row>
    <row r="68" spans="1:7" ht="18" customHeight="1" x14ac:dyDescent="0.25">
      <c r="A68" s="594" t="s">
        <v>2408</v>
      </c>
      <c r="C68" s="594" t="s">
        <v>2409</v>
      </c>
      <c r="E68" s="594" t="s">
        <v>2410</v>
      </c>
      <c r="G68" s="594" t="s">
        <v>2411</v>
      </c>
    </row>
    <row r="69" spans="1:7" ht="18" customHeight="1" x14ac:dyDescent="0.25">
      <c r="A69" s="594" t="s">
        <v>2412</v>
      </c>
      <c r="C69" s="594" t="s">
        <v>2413</v>
      </c>
      <c r="E69" s="594" t="s">
        <v>2414</v>
      </c>
      <c r="G69" s="594" t="s">
        <v>2415</v>
      </c>
    </row>
    <row r="70" spans="1:7" ht="18" customHeight="1" x14ac:dyDescent="0.25">
      <c r="A70" s="594" t="s">
        <v>2416</v>
      </c>
      <c r="C70" s="594" t="s">
        <v>2417</v>
      </c>
    </row>
    <row r="71" spans="1:7" ht="18" customHeight="1" x14ac:dyDescent="0.25">
      <c r="A71" s="594" t="s">
        <v>2418</v>
      </c>
      <c r="C71" s="594" t="s">
        <v>2419</v>
      </c>
    </row>
    <row r="72" spans="1:7" ht="18" customHeight="1" x14ac:dyDescent="0.25">
      <c r="A72" s="594" t="s">
        <v>2420</v>
      </c>
      <c r="C72" s="594" t="s">
        <v>2421</v>
      </c>
    </row>
    <row r="73" spans="1:7" ht="18" customHeight="1" x14ac:dyDescent="0.25">
      <c r="A73" s="594" t="s">
        <v>2422</v>
      </c>
    </row>
    <row r="74" spans="1:7" ht="18" customHeight="1" x14ac:dyDescent="0.25">
      <c r="A74" s="594" t="s">
        <v>2423</v>
      </c>
      <c r="C74" s="583" t="s">
        <v>2424</v>
      </c>
    </row>
    <row r="75" spans="1:7" ht="18" customHeight="1" x14ac:dyDescent="0.25">
      <c r="C75" s="594" t="s">
        <v>2425</v>
      </c>
    </row>
    <row r="76" spans="1:7" ht="18" customHeight="1" x14ac:dyDescent="0.25">
      <c r="A76" s="583" t="s">
        <v>2426</v>
      </c>
      <c r="C76" s="594" t="s">
        <v>2427</v>
      </c>
    </row>
    <row r="77" spans="1:7" ht="18" customHeight="1" x14ac:dyDescent="0.25">
      <c r="A77" s="594" t="s">
        <v>2428</v>
      </c>
      <c r="C77" s="594" t="s">
        <v>2429</v>
      </c>
    </row>
    <row r="78" spans="1:7" ht="18" customHeight="1" x14ac:dyDescent="0.25">
      <c r="A78" s="594" t="s">
        <v>2430</v>
      </c>
      <c r="C78" s="594" t="s">
        <v>2431</v>
      </c>
    </row>
    <row r="79" spans="1:7" ht="18" customHeight="1" x14ac:dyDescent="0.25">
      <c r="A79" s="594" t="s">
        <v>2432</v>
      </c>
      <c r="C79" s="594" t="s">
        <v>2433</v>
      </c>
    </row>
    <row r="80" spans="1:7" ht="18" customHeight="1" x14ac:dyDescent="0.25">
      <c r="A80" s="594" t="s">
        <v>2434</v>
      </c>
      <c r="C80" s="594" t="s">
        <v>2435</v>
      </c>
    </row>
    <row r="81" spans="1:4" ht="18" customHeight="1" x14ac:dyDescent="0.25">
      <c r="A81" s="594" t="s">
        <v>2436</v>
      </c>
      <c r="C81" s="594" t="s">
        <v>2437</v>
      </c>
    </row>
    <row r="82" spans="1:4" ht="18" customHeight="1" x14ac:dyDescent="0.25">
      <c r="A82" s="594" t="s">
        <v>2438</v>
      </c>
      <c r="C82" s="594" t="s">
        <v>2439</v>
      </c>
    </row>
    <row r="83" spans="1:4" ht="18" customHeight="1" x14ac:dyDescent="0.25">
      <c r="A83" s="594" t="s">
        <v>2440</v>
      </c>
    </row>
    <row r="84" spans="1:4" ht="18" customHeight="1" x14ac:dyDescent="0.25">
      <c r="A84" s="594" t="s">
        <v>2441</v>
      </c>
    </row>
    <row r="85" spans="1:4" ht="18" customHeight="1" x14ac:dyDescent="0.25">
      <c r="A85" s="594" t="s">
        <v>2442</v>
      </c>
    </row>
    <row r="86" spans="1:4" ht="18" customHeight="1" x14ac:dyDescent="0.25">
      <c r="A86" s="594" t="s">
        <v>2443</v>
      </c>
    </row>
    <row r="87" spans="1:4" ht="18" customHeight="1" x14ac:dyDescent="0.25">
      <c r="A87" s="594" t="s">
        <v>2444</v>
      </c>
    </row>
    <row r="88" spans="1:4" ht="18" customHeight="1" x14ac:dyDescent="0.25">
      <c r="A88" s="594" t="s">
        <v>2445</v>
      </c>
    </row>
    <row r="89" spans="1:4" ht="18" customHeight="1" x14ac:dyDescent="0.25">
      <c r="A89" s="594" t="s">
        <v>2446</v>
      </c>
    </row>
    <row r="90" spans="1:4" ht="18.75" customHeight="1" x14ac:dyDescent="0.2">
      <c r="A90" s="634" t="s">
        <v>2449</v>
      </c>
      <c r="B90" s="634"/>
      <c r="C90" s="634"/>
      <c r="D90" s="634"/>
    </row>
    <row r="91" spans="1:4" ht="18.75" customHeight="1" x14ac:dyDescent="0.2">
      <c r="A91" s="635"/>
      <c r="B91" s="635"/>
      <c r="C91" s="635"/>
      <c r="D91" s="635"/>
    </row>
    <row r="92" spans="1:4" ht="18" x14ac:dyDescent="0.2">
      <c r="A92" s="584"/>
    </row>
    <row r="93" spans="1:4" ht="18" x14ac:dyDescent="0.2">
      <c r="A93" s="584"/>
    </row>
    <row r="95" spans="1:4" ht="14.25" x14ac:dyDescent="0.3">
      <c r="A95" s="585"/>
    </row>
    <row r="96" spans="1:4" ht="14.25" x14ac:dyDescent="0.3">
      <c r="A96" s="585"/>
    </row>
  </sheetData>
  <mergeCells count="4">
    <mergeCell ref="A5:G5"/>
    <mergeCell ref="A7:G7"/>
    <mergeCell ref="A90:D90"/>
    <mergeCell ref="A91:D91"/>
  </mergeCells>
  <hyperlinks>
    <hyperlink ref="A10" location="Asunción!A1" display="ASUNCIÓN"/>
    <hyperlink ref="A12" location="Concepción!A7" display="CONCEPCIÓN"/>
    <hyperlink ref="A13" location="Concepción!A22" display="BELÉN"/>
    <hyperlink ref="A14" location="Concepción!A30" display="HORQUETA"/>
    <hyperlink ref="A15" location="Concepción!A39" display="LORETO"/>
    <hyperlink ref="A16" location="Concepción!A50" display="SAN LÁZARO"/>
    <hyperlink ref="A17" location="Concepción!A57" display="YBY YAÚ"/>
    <hyperlink ref="A18" location="Concepción!A62" display="SAN CARLOS DEL APA"/>
    <hyperlink ref="A19" location="Concepción!A70" display="AZOTE' Y"/>
    <hyperlink ref="A20" location="Concepción!A76" display="SARGENTO JOSE FELIX LOPEZ"/>
    <hyperlink ref="A21" location="Concepción!A84" display="PASO BARRETO"/>
    <hyperlink ref="A22" location="Concepción!A93" display="SAN ALFREDO"/>
    <hyperlink ref="A24" location="_02.01._San_Pedro_del_Ycuamandyyú" display="SAN PEDRO DE YCUAMANDIYÚ"/>
    <hyperlink ref="A25" location="_02.02._Puerto_Antequera" display="ANTEQUERA"/>
    <hyperlink ref="A26" location="_02.03._Chore" display="CHORÉ"/>
    <hyperlink ref="A27" location="_02.04._Gral_E._Aquino" display="GRAL ELIZARDO AQUINO"/>
    <hyperlink ref="A28" location="_02.05._Itacurubi_del_Rosario" display="ITACURUBÍ DEL ROSARIO "/>
    <hyperlink ref="A29" location="_02.06._Lima" display="LIMA"/>
    <hyperlink ref="A30" location="_02.07._Nueva_Germania" display="NUEVA GERMANIA"/>
    <hyperlink ref="A31" location="_02.10.San_Pablo" display="SAN PABLO"/>
    <hyperlink ref="A32" location="_02.09._Yrybucua" display="YRYBUKUÁ"/>
    <hyperlink ref="A33" location="_02.08._San_Estanislao" display="SAN ESTANISLAO"/>
    <hyperlink ref="A34" location="_02.11._Tacuati" display="TACUATI"/>
    <hyperlink ref="A35" location="_02.12._Unión" display="UNIÓN"/>
    <hyperlink ref="A36" location="_02.13._25_de_Diciembre" display="25 DE DICIEMBRE"/>
    <hyperlink ref="A37" location="_02.14._Villa_del_Rosario" display="VILLA DEL ROSARIO"/>
    <hyperlink ref="A38" location="_02.15._Gral_Francisco_Isodoro_Resquin" display="GRAL. I. RESQUÍN"/>
    <hyperlink ref="A39" location="_02.16._Yataity_del_Norte" display="YATAITY DEL NORTE"/>
    <hyperlink ref="A40" location="_02.17._Guajayvi" display="GUAJAYVI"/>
    <hyperlink ref="A41" location="_02.18._Capiirbary" display="CAPIIBARY"/>
    <hyperlink ref="A42" location="_02.19._Santa_Rosa_del_Aguaray" display="SANTA ROSA DEL AGUARAY"/>
    <hyperlink ref="A43" location="_02.20._Liberación" display="LIBERACION"/>
    <hyperlink ref="C10" location="_03._01_Caacupe" display="CAACUPÉ"/>
    <hyperlink ref="C11" location="_03._02_Altos" display="ALTOS"/>
    <hyperlink ref="C12" location="_03._03_Arroyos_y_Esteros" display="ARROYOS Y ESTEROS"/>
    <hyperlink ref="C13" location="_03._04_Atyra" display="ATYRA"/>
    <hyperlink ref="C14" location="_03._05_Caraguaty" display="CARAGUATAY"/>
    <hyperlink ref="C15" location="_03._06_Emboscada" display="EMBOSCADA"/>
    <hyperlink ref="C16" location="_03._07_Eusebio_Ayala" display="EUSEBIO AYALA"/>
    <hyperlink ref="C17" location="_03._08_Isla_Pucu" display="ISLA PUCÚ"/>
    <hyperlink ref="C18" location="_03._09_Itacurubi_de_la_Cordillera" display="ITACURUBÍ DE LA CORDILLERA"/>
    <hyperlink ref="C19" location="_03._10_Juan_de_Mena" display="JUAN DE MENA"/>
    <hyperlink ref="C20" location="_03._11_Loma_Grande" display="LOMA GRANDE"/>
    <hyperlink ref="C21" location="_03._12_Mbocayaty_del_Yhaguy" display="MBOCAYATY DEL YHAGUY"/>
    <hyperlink ref="C22" location="_03._13_Nueva_Colombia" display="NUEVA COLOMBIA"/>
    <hyperlink ref="C23" location="_03._14_Piribebuy" display="PIRIBEBUY"/>
    <hyperlink ref="C24" location="_03._15.__1°_de_Marzo" display="PRIMERO DE MARZO"/>
    <hyperlink ref="C25" location="_03._16._San_Bernardino" display="SAN BERNARDINO"/>
    <hyperlink ref="C26" location="_03._17._Santa_Elena" display="SANTA ELENA"/>
    <hyperlink ref="C27" location="_03._18._Tobati" display="TOBATÍ"/>
    <hyperlink ref="C28" location="_03._19._Valenzuela" display="VALENZUELA"/>
    <hyperlink ref="C29" location="_03._20._San_José_Obrero" display="SAN JOSÉ OBRERO"/>
    <hyperlink ref="C31" location="_4.01_Villarrica" display="VILLARRICA"/>
    <hyperlink ref="C32" location="_4.02._Borja" display="BORJA"/>
    <hyperlink ref="C33" location="_4.03.__Mauiricio_Jose_Troche" display="CAP. M. JOSÉ TROCHE"/>
    <hyperlink ref="C34" location="_4.04._Coronel_Martinez" display="CORONEL MARTÍNEZ"/>
    <hyperlink ref="C35" location="_4.05._Felix_Perez_Cardozo" display="FÉLIX PEREZ CARDOZO"/>
    <hyperlink ref="C36" location="_4.06.__Gral._Eugenio_A._Garay" display="GRAL. EUGENIO A. GARAY"/>
    <hyperlink ref="C37" location="_4.07.__Independencia" display="INDEPENDENCIA"/>
    <hyperlink ref="C39" location="_4.09._Iturbe" display="ITURBE"/>
    <hyperlink ref="C38" location="_4.08._Itape" display="ITAPÉ"/>
    <hyperlink ref="C40" location="_4.10._Jose_Fassadi" display="JOSÉ FASSARDI"/>
    <hyperlink ref="C41" location="_4.11._Mbocayaty" display="MBOCAYATY"/>
    <hyperlink ref="C42" location="_4.12.__Natalicio_Talavera" display="NATALICIO TALAVERA"/>
    <hyperlink ref="C43" location="_4.13.__Ñumi" display="ÑUMÍ"/>
    <hyperlink ref="C44" location="_4.14._San_Salvador" display="SAN SALVADOR"/>
    <hyperlink ref="C45" location="_4.15._Yataity_del_Guaira" display="YATAITY DEL GUAIRÁ"/>
    <hyperlink ref="C46" location="_4.16._Dr._Bottrell" display="DR. BOTTRELL"/>
    <hyperlink ref="C47" location="_4.17._Paso_Yobai" display="PASO YOBAI"/>
    <hyperlink ref="C48" location="_4.18._Tebicuary" display="TEBICUARY"/>
    <hyperlink ref="E10" location="_5.01._Coronel_Oviedo" display="CORONEL OVIEDO"/>
    <hyperlink ref="E11" location="_5._02._Caaguazu" display="CAAGUAZÚ"/>
    <hyperlink ref="E12" location="_5.03._Carayao" display="CARAYAÓ"/>
    <hyperlink ref="E13" location="_5.04._Dc._Cecilio_Baez" display="DR. CECILIO BAEZ"/>
    <hyperlink ref="E14" location="_5.05._Santa_Rosa_del_Mbutuy" display="SANTA ROSA DEL MBUTUY"/>
    <hyperlink ref="E15" location="_5.06.__Juan_Manuel_Frutos" display="DR. JUAN MANUEL FRUTOS"/>
    <hyperlink ref="E16" location="_5.07._Repatriación" display="REPATRIACIÓN"/>
    <hyperlink ref="E17" location="_5.08__Nueva_Londres" display="NUEVA LONDRES"/>
    <hyperlink ref="E18" location="_5.09._San_Joaquin" display="SAN JOAQUÍN"/>
    <hyperlink ref="E19" location="_5.10._San_José_de_los_Arroyos" display="SAN JOSÉ DE LOS ARROYOS"/>
    <hyperlink ref="E20" location="_5.11._Yhu" display="YHÚ"/>
    <hyperlink ref="E21" location="_5.12._Juan_Eulogio_Estigarribia" display="DR. J. EULOGIO ESTIGARRIBIA"/>
    <hyperlink ref="E22" location="_5.13.__R.I._3_Corrales" display="R.I.3 CORRALES"/>
    <hyperlink ref="E23" location="_5.14._Raul_Arsenio_Oviedo" display="RAÚL ARSENIO OVIEDO"/>
    <hyperlink ref="E24" location="_5.15._Jose_Domingo_Ocampos" display="JOSÉ DOMINGO OCAMPOS"/>
    <hyperlink ref="E25" location="_5.16.__Mcal_Francisco_Solano_Lopez" display="MCAL. F. SOLANO LÓPEZ"/>
    <hyperlink ref="E26" location="_5.17._La_Pastora" display="LA PASTORA"/>
    <hyperlink ref="E27" location="_5.18.__3_de_Febrero" display="3 DE FEBRERO"/>
    <hyperlink ref="E28" location="_5.19._Simon_Bolivar" display="SIMON BOLIVAR"/>
    <hyperlink ref="E29" location="_5.20._Vaqueria" display="VAQUERÍA"/>
    <hyperlink ref="E30" location="_5.21._Tembiapora" display="TEMBIAPORÂ"/>
    <hyperlink ref="E31" location="_5.22._Nueva_Toledo" display="NUEVA TOLEDO"/>
    <hyperlink ref="E33" location="_6.01._Caazapá" display="CAAZAPÁ"/>
    <hyperlink ref="E34" location="_6.02._Abai" display="ABAÍ"/>
    <hyperlink ref="E35" location="_6.03._Buena_Vista" display="BUENA VISTA"/>
    <hyperlink ref="E36" location="_06._04_Moises_S._Bertoni" display="DR. MOISÉS BERTONI"/>
    <hyperlink ref="E37" location="_06.05._Gral._Higinio_Morinigo" display="GENERAL H. MORÍNIGO"/>
    <hyperlink ref="E38" location="_06.06._Coronel_Maciel" display="MACIEL"/>
    <hyperlink ref="E39" location="_06.07._San_Juan_Nepomuceno" display="SAN JUAN NEPOMUCENO"/>
    <hyperlink ref="E40" location="_06.08._Tavai" display="TAVAÍ"/>
    <hyperlink ref="E41" location="_06.09._Fulgencio_Yegros" display="YEGROS"/>
    <hyperlink ref="E42" location="_06.10._Yuty" display="YUTY"/>
    <hyperlink ref="E43" location="_06.11._3_de_Mayo" display="3 DE MAYO"/>
    <hyperlink ref="G10" location="_07._01._Encarnación" display="ENCARNACIÓN"/>
    <hyperlink ref="G11" location="_07._02._Bella_Vista" display="BELLA VISTA"/>
    <hyperlink ref="G12" location="_07._03._Cambyreta" display="CAMBYRETÁ"/>
    <hyperlink ref="G13" location="_07._04._Capitán_Meza" display="CAPITÁN MEZA"/>
    <hyperlink ref="G14" location="_07._05._Capitán_Miranda" display="CAPITAN MIRANDA"/>
    <hyperlink ref="G15" location="_07._06.__Nueva_Alborada" display="NUEVA ALBORADA"/>
    <hyperlink ref="G16" location="_07._07._Carmen_del_Paraná" display="CARMEN DEL PARANÁ"/>
    <hyperlink ref="G17" location="_07._08._Coronel_Bogado" display="CORONEL BOGADO"/>
    <hyperlink ref="G18" location="_07._09._Carlos_Antonio_López" display="CARLOS A.LÓPEZ"/>
    <hyperlink ref="G19" location="_07.10._Natalio" display="NATALIO"/>
    <hyperlink ref="G20" location="_07.11._Fram" display="FRAM"/>
    <hyperlink ref="G21" location="_07.12._General_Artigas" display="GENERAL ARTIGAS"/>
    <hyperlink ref="G22" location="_07.13._General_José_M._Delgado" display="GENERAL DELGADO"/>
    <hyperlink ref="G23" location="_07.14._Hohenau" display="HOHENAU"/>
    <hyperlink ref="G24" location="_07.15._Jesús" display="JESÚS"/>
    <hyperlink ref="G25" location="_07.16._José_Leandro_Oviedo" display="JOSÉ L. OVIEDO"/>
    <hyperlink ref="G26" location="_07.17._Obligado" display="OBLIGADO"/>
    <hyperlink ref="G27" location="_7.18._Mayor_Julio_D._Otaño" display="MAYOR JULIO D. OTAÑO"/>
    <hyperlink ref="G28" location="_7.19._San_Cosme_y_Damián" display="SAN COSME Y DAMIÁN"/>
    <hyperlink ref="G29" location="_07.20._San_Pedro_del_Paraná" display="SAN PEDRO DEL PARANÁ"/>
    <hyperlink ref="G30" location="_07.21._San_Rafael_del_Paraná" display="SAN RAFAEL DEL PARANÁ"/>
    <hyperlink ref="G31" location="_07.22._Trinidad" display="TRINIDAD"/>
    <hyperlink ref="G32" location="_07.23._Edelira" display="EDELIRA"/>
    <hyperlink ref="G33" location="_07.24._Tomás_Romero_Pereira" display="TOMAS ROMERO PEREIRA"/>
    <hyperlink ref="G34" location="_07.25._Alto_Vera" display="ALTO VERA"/>
    <hyperlink ref="G35" location="_07.26.__La_Paz" display="LA PAZ"/>
    <hyperlink ref="G36" location="_07.27._Yatytay" display="YATYTAY"/>
    <hyperlink ref="G37" location="_07.28._San_Juan_del_Paraná" display="SAN JUAN DEL PARANÁ"/>
    <hyperlink ref="G38" location="_07.29._Pirapo" display="PIRAPÓ"/>
    <hyperlink ref="G39" location="_07.30._Itapúa_Poty" display="ITAPUA POTY"/>
    <hyperlink ref="E67" location="_16.01._Mcal._José_Felix_Estigarribia" display="MCAL JOSÉ FELIX ESTIGARRIBIA"/>
    <hyperlink ref="E68" location="_16.02._Filadelfia" display="FILADELFIA"/>
    <hyperlink ref="E69" location="_16.03._Loma_Plata" display="LOMA PLATA"/>
    <hyperlink ref="G66" location="_17.01._Fuerte_Olimpo" display="FUERTE OLIMPO"/>
    <hyperlink ref="G67" location="_17.02._Puerto_Casado" display="LA VICTORIA (EX PUERTO CASADO)"/>
    <hyperlink ref="G68" location="_17.03._Bahía_Negra" display="BAHIA NEGRA"/>
    <hyperlink ref="G69" location="_17.04._Carmelo_Peralta" display="CARMELO PERALTA"/>
    <hyperlink ref="G59" location="_13.01_Pedro_Juan_Caballero" display="PEDRO JUAN CABALLERO"/>
    <hyperlink ref="G60" location="_13.02._Bella_Vista" display="BELLA VISTA NORTE"/>
    <hyperlink ref="G61" location="_13.03._Capitan_Bado" display="CAPITÁN BADO"/>
    <hyperlink ref="G62" location="_13.04._Zanja_Pyta" display="ZANJA PYTÂ"/>
    <hyperlink ref="G63" location="_13.05._Karapai" display="KARAPAI "/>
    <hyperlink ref="C75" location="_15.01._Benjamín_Aceval" display="BENJAMÍN ACEVAL"/>
    <hyperlink ref="C76" location="_15.02._Puerto_Pinasco" display="PUERTO PINASCO"/>
    <hyperlink ref="C77" location="_15.03._Villa_Hayes" display="VILLA HAYES"/>
    <hyperlink ref="C78" location="_15.04._Nanawa" display="NANAWA"/>
    <hyperlink ref="C79" location="_15.05._José_Falcón" display="PUERTO FALCÓN"/>
    <hyperlink ref="C80" location="_15.06.__Tte._1°_Manuel_Irala_Fernández" display="TENIENTE 1° MANUEL IRALA FERNANDEZ"/>
    <hyperlink ref="C81" location="_15.07._Tte._Esteban_Martínez" display="TENIENTE ESTEBAN MARTINEZ"/>
    <hyperlink ref="C82" location="_15.08._Gral._José_María_Bruguez" display="GRAL. JOSÉ MARÍA BRUGUEZ"/>
    <hyperlink ref="A46" location="_08.01._San_Juan_Bautista" display="SAN JUAN BAUTISTA"/>
    <hyperlink ref="A47" location="_08.02._Ayolas" display="AYOLAS"/>
    <hyperlink ref="A48" location="_08.03._San_Ignacio" display="SAN IGNACIO"/>
    <hyperlink ref="A49" location="_08.04.__San_Miguel" display="SAN MIGUEL"/>
    <hyperlink ref="A50" location="_08.05._San_Patricio" display="SAN PATRICIO"/>
    <hyperlink ref="A51" location="_08.06._Santa_Maria_de_Fe" display="SANTA MARÍA"/>
    <hyperlink ref="A52" location="_08.07._Santa_Rosa_Misiones" display="SANTA ROSA"/>
    <hyperlink ref="A53" location="Indice!A1" display="SANTIAGO"/>
    <hyperlink ref="A54" location="_08.09._Villa_Florida" display="VILLA FLORIDA"/>
    <hyperlink ref="A55" location="_08.10._Yabebyry" display="YABEBYRY"/>
    <hyperlink ref="A77" location="_14.01._Saltos_del_Guairá" display="SALTO DEL GUAIRÁ"/>
    <hyperlink ref="A78" location="_14.02._Corpus_Christi" display="CORPUS CHRISTI"/>
    <hyperlink ref="A79" location="_14.03._Villa_Curuguaty" display="CURUGUATY"/>
    <hyperlink ref="A80" location="_14.04._Yasy_Cañy" display="YASY KAÑY"/>
    <hyperlink ref="A81" location="_14.05._Villa_Ygatimi" display="YGATIMÍ"/>
    <hyperlink ref="A82" location="_14.06._Itanara" display="ITANARÁ"/>
    <hyperlink ref="A83" location="_14._07._Ypejhu" display="YPEJHU"/>
    <hyperlink ref="A84" location="_14.08._Gral_F._Caballero_Alvarez" display="GRAL. FRANCISCO CABALLERO"/>
    <hyperlink ref="A85" location="_14.09._Katuete" display="KATUETÉ"/>
    <hyperlink ref="A86" location="_14.10._La_Paloma_del_Espiritu_Santo" display="LA PALOMA"/>
    <hyperlink ref="A87" location="_14.11._Nueva_Esperanza" display="NUEVA ESPERANZA"/>
    <hyperlink ref="A88" location="_14.12._Ybyrarobana" display="YBYRAROBANA"/>
    <hyperlink ref="A89" location="_14.13._Yby_Pyta" display="YBY PYTA "/>
    <hyperlink ref="G42" location="_12.01._Pilar" display="PILAR"/>
    <hyperlink ref="G43" location="_12.02._Alberdi" display="ALBERDI"/>
    <hyperlink ref="G44" location="_12.03._Cerrito" display="CERRITO"/>
    <hyperlink ref="G45" location="_12.04._Desmochados" display="DESMOCHADOS"/>
    <hyperlink ref="G46" location="_12.05._Gral._José_Eduvigis_Diaz" display="GRAL. JOSÉ EDUVIGIS DÍAZ"/>
    <hyperlink ref="G47" location="_12.06._Guazú_Cuá" display="GUAZUCUÁ"/>
    <hyperlink ref="G48" location="_12.07._Humaita" display="HUMAITÁ"/>
    <hyperlink ref="G49" location="_12.08._Isla_Umbu" display="ISLA UMBÚ"/>
    <hyperlink ref="G50" location="_12.09._Laureles" display="LAURELES"/>
    <hyperlink ref="G51" location="_12.10._Mayor_Jose_D._Martinez" display="MAYOR J. DEJESÚS MARTÍNEZ"/>
    <hyperlink ref="G52" location="_12.11._Paso_de_Patria" display="PASO DE PATRIA"/>
    <hyperlink ref="G53" location="_12.12._San_Juan_Bautista_de_Ñeembucu" display="SAN JUAN B. DE ÑEEMBUCÚ"/>
    <hyperlink ref="G54" location="_12.13._Tacuaras" display="TACUARAS"/>
    <hyperlink ref="G55" location="_12.14._Villa_Franca" display="VILLA FRANCA"/>
    <hyperlink ref="G56" location="_12.15._Villa_Oliva" display="VILLA OLIVA"/>
    <hyperlink ref="G57" location="_12.16._Villalbin" display="VILLALBÍN"/>
    <hyperlink ref="A58" location="_09.01._Paraguari" display="PARAGUARÍ"/>
    <hyperlink ref="A59" location="_09.02._Acahay" display="ACAHAY"/>
    <hyperlink ref="A60" location="_09.03_Caapucú" display="CAAPUCÚ"/>
    <hyperlink ref="A61" location="_9.04._Gral._B._Caballero" display="GRAL. BERNARDINO CABALLERO"/>
    <hyperlink ref="A62" location="_09.05._Carapeguá" display="CARAPEGUÁ"/>
    <hyperlink ref="A63" location="_09.06._Escobar" display="ESCOBAR"/>
    <hyperlink ref="A64" location="_09.07._La_Colmena" display="LA COLMENA"/>
    <hyperlink ref="A65" location="_09.08_Mbuyapey" display="MBUYAPEY"/>
    <hyperlink ref="A66" location="_09.09._Pirayú" display="PIRAYÚ"/>
    <hyperlink ref="A67" location="_09.10._Quiindy" display="QUIINDY"/>
    <hyperlink ref="A68" location="_09.11._Quyquyho" display="QUYQUYHÓ"/>
    <hyperlink ref="A69" location="_09.12._San_Roque_Gonzalez_de_Santa_Cruz" display="SAN ROQUE G. DE S. CRUZ"/>
    <hyperlink ref="A70" location="_09.13._Sapucai" display="SAPUCAI"/>
    <hyperlink ref="A71" location="_09.14._Tebicuarymi" display="TEBICUARYMI"/>
    <hyperlink ref="A72" location="_09.15._Yaguarón" display="YAGUARÓN"/>
    <hyperlink ref="A73" location="_09._Ybycui" display="YBYCUÍ"/>
    <hyperlink ref="A74" location="_09.17._Ybytymi" display="YBYTIMI"/>
    <hyperlink ref="E46" location="_11.01._Areguá" display="AREGUÁ"/>
    <hyperlink ref="E47" location="_11.02._Capiatá" display="CAPIATÁ"/>
    <hyperlink ref="E48" location="_11.03._Fernando_de_la_Mora" display="FERNANDO DE LA MORA"/>
    <hyperlink ref="E49" location="_11.04._Guarambaré" display="GUARAMBARÉ"/>
    <hyperlink ref="E50" location="_11.04._Guarambaré" display="ITÁ"/>
    <hyperlink ref="E51" location="_11.06._Itauguá" display="ITAUGUÁ"/>
    <hyperlink ref="E52" location="_11.07._Lambaré" display="LAMBARÉ"/>
    <hyperlink ref="E53" location="_11.08._Limpio" display="LIMPIO"/>
    <hyperlink ref="E54" location="_11.09._Luque" display="LUQUE"/>
    <hyperlink ref="E55" location="_11.10._Mariano_Roque_Alonso" display="MARIANO R. ALONSO"/>
    <hyperlink ref="E56" location="_11.11._Nueva_Italia" display="NUEVA ITALIA"/>
    <hyperlink ref="E57" location="_11.12._Ñemby" display="ÑEMBY"/>
    <hyperlink ref="E58" location="_11.13._San_Antonio" display="SAN ANTONIO"/>
    <hyperlink ref="E59" location="_11.14._San_Lorenzo" display="SAN LORENZO"/>
    <hyperlink ref="E60" location="_11.15._Villa_Elisa" display="VILLA ELISA"/>
    <hyperlink ref="E61" location="_11.16._Villeta" display="VILLETA"/>
    <hyperlink ref="E62" location="_11.17._Ypacarai" display="YPACARAÍ"/>
    <hyperlink ref="E63" location="_11.18._Ypane" display="YPANÉ"/>
    <hyperlink ref="E64" location="_11.19._J._Augusto_Saldivar" display="J. AUGUSTO SALDÌVAR"/>
    <hyperlink ref="C51" location="_10.01._Ciudad_del_Este" display="CIUDAD DEL ESTE"/>
    <hyperlink ref="C52" location="_10.02._Presidente_Franco" display="PTE. FRANCO"/>
    <hyperlink ref="C53" location="_10.03._Domingo_Martinez_de_Irala" display="DOMINGO M. DE IRALA"/>
    <hyperlink ref="C54" location="_10.04.__Juan_León_Mallorquín" display="DR. JUAN L. MALLORQUÍN"/>
    <hyperlink ref="C55" location="_10.05.__Hernandarias" display="HERNANDARIAS"/>
    <hyperlink ref="C56" location="_10.06._Santa_Fe_del_Paraná" display="SANTA FÉ DEL PARANÁ"/>
    <hyperlink ref="C57" location="_10.07._Itakyry" display="ITAKYRY"/>
    <hyperlink ref="C58" location="_10.08._Juan_E._Oleary" display="JUAN E. OLEARY"/>
    <hyperlink ref="C59" location="_10.09._Ñacunday" display="ÑACUNDAY"/>
    <hyperlink ref="C60" location="_10.10._Yguazú" display="YGUAZÚ"/>
    <hyperlink ref="C61" location="_10.11._Los_Cedrales" display="LOS CEDRALES"/>
    <hyperlink ref="C62" location="_10.12._Minga_Guazú" display="MINGA GUAZÚ"/>
    <hyperlink ref="C63" location="_10.13._San_Cristobal" display="SAN CRISTÓBAL"/>
    <hyperlink ref="C64" location="_10.14._Santa_Rita" display="SANTA RITA"/>
    <hyperlink ref="C65" location="_10.15.__Naranjal" display="NARANJAL"/>
    <hyperlink ref="C66" location="_10.16._Santa_Rosa_del_Monday" display="SANTA ROSA DEL MONDAY"/>
    <hyperlink ref="C67" location="_10.17._Minga_Porá" display="MINGA PORÁ"/>
    <hyperlink ref="C68" location="_10.18.__Mbaracayú" display="MBARACAYÚ"/>
    <hyperlink ref="C69" location="_10.19.__San_Alberto" display="SAN ALBERTO"/>
    <hyperlink ref="C70" location="_10.20._Iruña" display="IRUÑA"/>
    <hyperlink ref="C71" location="_10.21._Tavapy" display="TAVAPY"/>
    <hyperlink ref="C72" location="_10.22._Dr._Raul_Peña" display="RAÚL PEÑA"/>
  </hyperlinks>
  <pageMargins left="0.7" right="0.7" top="0.75" bottom="0.75" header="0.3" footer="0.3"/>
  <pageSetup paperSize="30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2"/>
  <sheetViews>
    <sheetView showGridLines="0" zoomScaleNormal="100" workbookViewId="0">
      <selection activeCell="C5" sqref="C5:C6"/>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0" customWidth="1"/>
    <col min="11" max="11" width="12.140625" customWidth="1"/>
    <col min="12" max="13" width="15.140625" customWidth="1"/>
  </cols>
  <sheetData>
    <row r="4" spans="1:13" ht="9" customHeight="1" thickBot="1" x14ac:dyDescent="0.3"/>
    <row r="5" spans="1:13" ht="30" customHeight="1" thickTop="1" thickBot="1" x14ac:dyDescent="0.3">
      <c r="A5" s="639" t="s">
        <v>0</v>
      </c>
      <c r="B5" s="639" t="s">
        <v>1</v>
      </c>
      <c r="C5" s="639" t="s">
        <v>2569</v>
      </c>
      <c r="D5" s="636" t="s">
        <v>1961</v>
      </c>
      <c r="E5" s="637"/>
      <c r="F5" s="637"/>
      <c r="G5" s="638"/>
      <c r="H5" s="636" t="s">
        <v>3</v>
      </c>
      <c r="I5" s="637"/>
      <c r="J5" s="636" t="s">
        <v>1962</v>
      </c>
      <c r="K5" s="637"/>
      <c r="L5" s="637"/>
      <c r="M5" s="638"/>
    </row>
    <row r="6" spans="1:13" ht="34.5" customHeight="1" thickTop="1" thickBot="1" x14ac:dyDescent="0.3">
      <c r="A6" s="640"/>
      <c r="B6" s="640"/>
      <c r="C6" s="640"/>
      <c r="D6" s="209" t="s">
        <v>4</v>
      </c>
      <c r="E6" s="209" t="s">
        <v>5</v>
      </c>
      <c r="F6" s="209" t="s">
        <v>6</v>
      </c>
      <c r="G6" s="209" t="s">
        <v>7</v>
      </c>
      <c r="H6" s="209" t="s">
        <v>2</v>
      </c>
      <c r="I6" s="209" t="s">
        <v>3</v>
      </c>
      <c r="J6" s="209" t="s">
        <v>8</v>
      </c>
      <c r="K6" s="209" t="s">
        <v>9</v>
      </c>
      <c r="L6" s="209" t="s">
        <v>1963</v>
      </c>
      <c r="M6" s="209" t="s">
        <v>1964</v>
      </c>
    </row>
    <row r="7" spans="1:13" ht="47.25" customHeight="1" thickTop="1" thickBot="1" x14ac:dyDescent="0.3">
      <c r="A7" s="210" t="s">
        <v>1965</v>
      </c>
      <c r="B7" s="210" t="s">
        <v>1966</v>
      </c>
      <c r="C7" s="211" t="s">
        <v>18</v>
      </c>
      <c r="D7" s="211">
        <v>2</v>
      </c>
      <c r="E7" s="211">
        <v>30</v>
      </c>
      <c r="F7" s="211">
        <v>3</v>
      </c>
      <c r="G7" s="211">
        <v>848</v>
      </c>
      <c r="H7" s="212">
        <v>14645377122</v>
      </c>
      <c r="I7" s="213">
        <v>0</v>
      </c>
      <c r="J7" s="216" t="s">
        <v>19</v>
      </c>
      <c r="K7" s="214" t="s">
        <v>20</v>
      </c>
      <c r="L7" s="219">
        <v>2583</v>
      </c>
      <c r="M7" s="214">
        <v>0</v>
      </c>
    </row>
    <row r="8" spans="1:13" ht="47.25" customHeight="1" thickTop="1" thickBot="1" x14ac:dyDescent="0.3">
      <c r="A8" s="210" t="s">
        <v>1965</v>
      </c>
      <c r="B8" s="210" t="s">
        <v>1966</v>
      </c>
      <c r="C8" s="211" t="s">
        <v>53</v>
      </c>
      <c r="D8" s="211">
        <v>3</v>
      </c>
      <c r="E8" s="211">
        <v>30</v>
      </c>
      <c r="F8" s="211">
        <v>3</v>
      </c>
      <c r="G8" s="211">
        <v>520</v>
      </c>
      <c r="H8" s="212">
        <v>1767000000</v>
      </c>
      <c r="I8" s="213">
        <v>1767000000</v>
      </c>
      <c r="J8" s="215" t="s">
        <v>21</v>
      </c>
      <c r="K8" s="214" t="s">
        <v>22</v>
      </c>
      <c r="L8" s="219">
        <v>19</v>
      </c>
      <c r="M8" s="214">
        <v>19</v>
      </c>
    </row>
    <row r="9" spans="1:13" ht="47.25" customHeight="1" thickTop="1" thickBot="1" x14ac:dyDescent="0.3">
      <c r="A9" s="210" t="s">
        <v>1965</v>
      </c>
      <c r="B9" s="210" t="s">
        <v>1966</v>
      </c>
      <c r="C9" s="211" t="s">
        <v>53</v>
      </c>
      <c r="D9" s="211">
        <v>3</v>
      </c>
      <c r="E9" s="211">
        <v>30</v>
      </c>
      <c r="F9" s="211">
        <v>3</v>
      </c>
      <c r="G9" s="211">
        <v>520</v>
      </c>
      <c r="H9" s="212">
        <v>507000000</v>
      </c>
      <c r="I9" s="213">
        <v>455000000</v>
      </c>
      <c r="J9" s="215" t="s">
        <v>23</v>
      </c>
      <c r="K9" s="214" t="s">
        <v>22</v>
      </c>
      <c r="L9" s="219">
        <v>39</v>
      </c>
      <c r="M9" s="214">
        <v>35</v>
      </c>
    </row>
    <row r="10" spans="1:13" ht="47.25" customHeight="1" thickTop="1" thickBot="1" x14ac:dyDescent="0.3">
      <c r="A10" s="210" t="s">
        <v>1965</v>
      </c>
      <c r="B10" s="210" t="s">
        <v>1966</v>
      </c>
      <c r="C10" s="211" t="s">
        <v>53</v>
      </c>
      <c r="D10" s="211">
        <v>3</v>
      </c>
      <c r="E10" s="211">
        <v>30</v>
      </c>
      <c r="F10" s="211">
        <v>3</v>
      </c>
      <c r="G10" s="211">
        <v>520</v>
      </c>
      <c r="H10" s="212">
        <v>448000000</v>
      </c>
      <c r="I10" s="213">
        <v>448000000</v>
      </c>
      <c r="J10" s="215" t="s">
        <v>24</v>
      </c>
      <c r="K10" s="214" t="s">
        <v>25</v>
      </c>
      <c r="L10" s="219">
        <v>32</v>
      </c>
      <c r="M10" s="214">
        <v>32</v>
      </c>
    </row>
    <row r="11" spans="1:13" ht="47.25" customHeight="1" thickTop="1" thickBot="1" x14ac:dyDescent="0.3">
      <c r="A11" s="210" t="s">
        <v>1965</v>
      </c>
      <c r="B11" s="210" t="s">
        <v>1966</v>
      </c>
      <c r="C11" s="211" t="s">
        <v>53</v>
      </c>
      <c r="D11" s="211">
        <v>3</v>
      </c>
      <c r="E11" s="211">
        <v>30</v>
      </c>
      <c r="F11" s="211">
        <v>3</v>
      </c>
      <c r="G11" s="211">
        <v>520</v>
      </c>
      <c r="H11" s="212">
        <v>75000000</v>
      </c>
      <c r="I11" s="213">
        <v>66000000</v>
      </c>
      <c r="J11" s="215" t="s">
        <v>26</v>
      </c>
      <c r="K11" s="214" t="s">
        <v>25</v>
      </c>
      <c r="L11" s="219">
        <v>25</v>
      </c>
      <c r="M11" s="214">
        <v>22</v>
      </c>
    </row>
    <row r="12" spans="1:13" ht="47.25" customHeight="1" thickTop="1" thickBot="1" x14ac:dyDescent="0.3">
      <c r="A12" s="210" t="s">
        <v>1965</v>
      </c>
      <c r="B12" s="210" t="s">
        <v>1966</v>
      </c>
      <c r="C12" s="211" t="s">
        <v>53</v>
      </c>
      <c r="D12" s="211">
        <v>3</v>
      </c>
      <c r="E12" s="211">
        <v>30</v>
      </c>
      <c r="F12" s="211">
        <v>3</v>
      </c>
      <c r="G12" s="211">
        <v>520</v>
      </c>
      <c r="H12" s="212">
        <v>360000000</v>
      </c>
      <c r="I12" s="213">
        <v>360000000</v>
      </c>
      <c r="J12" s="215" t="s">
        <v>27</v>
      </c>
      <c r="K12" s="214" t="s">
        <v>28</v>
      </c>
      <c r="L12" s="219">
        <v>3</v>
      </c>
      <c r="M12" s="214">
        <v>3</v>
      </c>
    </row>
    <row r="13" spans="1:13" ht="47.25" customHeight="1" thickTop="1" thickBot="1" x14ac:dyDescent="0.3">
      <c r="A13" s="210" t="s">
        <v>1965</v>
      </c>
      <c r="B13" s="210" t="s">
        <v>1966</v>
      </c>
      <c r="C13" s="211" t="s">
        <v>53</v>
      </c>
      <c r="D13" s="211">
        <v>3</v>
      </c>
      <c r="E13" s="211">
        <v>30</v>
      </c>
      <c r="F13" s="211">
        <v>3</v>
      </c>
      <c r="G13" s="211">
        <v>520</v>
      </c>
      <c r="H13" s="212">
        <v>585000000</v>
      </c>
      <c r="I13" s="213">
        <v>585000000</v>
      </c>
      <c r="J13" s="215" t="s">
        <v>29</v>
      </c>
      <c r="K13" s="242" t="s">
        <v>30</v>
      </c>
      <c r="L13" s="219">
        <v>4</v>
      </c>
      <c r="M13" s="214">
        <v>4</v>
      </c>
    </row>
    <row r="14" spans="1:13" ht="47.25" customHeight="1" thickTop="1" thickBot="1" x14ac:dyDescent="0.3">
      <c r="A14" s="210" t="s">
        <v>1965</v>
      </c>
      <c r="B14" s="210" t="s">
        <v>1966</v>
      </c>
      <c r="C14" s="211" t="s">
        <v>53</v>
      </c>
      <c r="D14" s="211">
        <v>3</v>
      </c>
      <c r="E14" s="211">
        <v>30</v>
      </c>
      <c r="F14" s="211">
        <v>3</v>
      </c>
      <c r="G14" s="211">
        <v>520</v>
      </c>
      <c r="H14" s="212">
        <v>1569438377</v>
      </c>
      <c r="I14" s="213">
        <v>1549835299</v>
      </c>
      <c r="J14" s="215" t="s">
        <v>31</v>
      </c>
      <c r="K14" s="214" t="s">
        <v>13</v>
      </c>
      <c r="L14" s="219">
        <v>1</v>
      </c>
      <c r="M14" s="214">
        <v>1</v>
      </c>
    </row>
    <row r="15" spans="1:13" ht="47.25" customHeight="1" thickTop="1" thickBot="1" x14ac:dyDescent="0.3">
      <c r="A15" s="210" t="s">
        <v>1965</v>
      </c>
      <c r="B15" s="210" t="s">
        <v>1966</v>
      </c>
      <c r="C15" s="211" t="s">
        <v>53</v>
      </c>
      <c r="D15" s="211">
        <v>3</v>
      </c>
      <c r="E15" s="211">
        <v>30</v>
      </c>
      <c r="F15" s="211">
        <v>3</v>
      </c>
      <c r="G15" s="211">
        <v>520</v>
      </c>
      <c r="H15" s="212">
        <v>3328859571</v>
      </c>
      <c r="I15" s="213">
        <v>0</v>
      </c>
      <c r="J15" s="215" t="s">
        <v>31</v>
      </c>
      <c r="K15" s="214" t="s">
        <v>13</v>
      </c>
      <c r="L15" s="219">
        <v>1</v>
      </c>
      <c r="M15" s="214">
        <v>0</v>
      </c>
    </row>
    <row r="16" spans="1:13" ht="47.25" customHeight="1" thickTop="1" thickBot="1" x14ac:dyDescent="0.3">
      <c r="A16" s="210" t="s">
        <v>1965</v>
      </c>
      <c r="B16" s="210" t="s">
        <v>1966</v>
      </c>
      <c r="C16" s="211" t="s">
        <v>53</v>
      </c>
      <c r="D16" s="211">
        <v>3</v>
      </c>
      <c r="E16" s="211">
        <v>30</v>
      </c>
      <c r="F16" s="211">
        <v>3</v>
      </c>
      <c r="G16" s="211">
        <v>520</v>
      </c>
      <c r="H16" s="212">
        <v>186000000</v>
      </c>
      <c r="I16" s="213">
        <v>0</v>
      </c>
      <c r="J16" s="215" t="s">
        <v>32</v>
      </c>
      <c r="K16" s="214" t="s">
        <v>22</v>
      </c>
      <c r="L16" s="219">
        <v>2</v>
      </c>
      <c r="M16" s="214">
        <v>0</v>
      </c>
    </row>
    <row r="17" spans="1:13" ht="47.25" customHeight="1" thickTop="1" thickBot="1" x14ac:dyDescent="0.3">
      <c r="A17" s="210" t="s">
        <v>1965</v>
      </c>
      <c r="B17" s="210" t="s">
        <v>1966</v>
      </c>
      <c r="C17" s="211" t="s">
        <v>53</v>
      </c>
      <c r="D17" s="211">
        <v>3</v>
      </c>
      <c r="E17" s="211">
        <v>30</v>
      </c>
      <c r="F17" s="211">
        <v>3</v>
      </c>
      <c r="G17" s="211">
        <v>520</v>
      </c>
      <c r="H17" s="212">
        <v>325000000</v>
      </c>
      <c r="I17" s="213">
        <v>0</v>
      </c>
      <c r="J17" s="215" t="s">
        <v>33</v>
      </c>
      <c r="K17" s="214" t="s">
        <v>22</v>
      </c>
      <c r="L17" s="219">
        <v>25</v>
      </c>
      <c r="M17" s="214">
        <v>0</v>
      </c>
    </row>
    <row r="18" spans="1:13" ht="47.25" customHeight="1" thickTop="1" thickBot="1" x14ac:dyDescent="0.3">
      <c r="A18" s="210" t="s">
        <v>1965</v>
      </c>
      <c r="B18" s="210" t="s">
        <v>1966</v>
      </c>
      <c r="C18" s="211" t="s">
        <v>53</v>
      </c>
      <c r="D18" s="211">
        <v>3</v>
      </c>
      <c r="E18" s="211">
        <v>30</v>
      </c>
      <c r="F18" s="211">
        <v>3</v>
      </c>
      <c r="G18" s="211">
        <v>520</v>
      </c>
      <c r="H18" s="212">
        <v>154000000</v>
      </c>
      <c r="I18" s="213">
        <v>0</v>
      </c>
      <c r="J18" s="215" t="s">
        <v>34</v>
      </c>
      <c r="K18" s="214" t="s">
        <v>25</v>
      </c>
      <c r="L18" s="219">
        <v>11</v>
      </c>
      <c r="M18" s="214">
        <v>0</v>
      </c>
    </row>
    <row r="19" spans="1:13" ht="47.25" customHeight="1" thickTop="1" thickBot="1" x14ac:dyDescent="0.3">
      <c r="A19" s="210" t="s">
        <v>1965</v>
      </c>
      <c r="B19" s="210" t="s">
        <v>1966</v>
      </c>
      <c r="C19" s="211" t="s">
        <v>53</v>
      </c>
      <c r="D19" s="211">
        <v>3</v>
      </c>
      <c r="E19" s="211">
        <v>30</v>
      </c>
      <c r="F19" s="211">
        <v>3</v>
      </c>
      <c r="G19" s="211">
        <v>520</v>
      </c>
      <c r="H19" s="212">
        <v>48000000</v>
      </c>
      <c r="I19" s="213">
        <v>0</v>
      </c>
      <c r="J19" s="215" t="s">
        <v>35</v>
      </c>
      <c r="K19" s="214" t="s">
        <v>25</v>
      </c>
      <c r="L19" s="219">
        <v>16</v>
      </c>
      <c r="M19" s="214">
        <v>0</v>
      </c>
    </row>
    <row r="20" spans="1:13" ht="47.25" customHeight="1" thickTop="1" thickBot="1" x14ac:dyDescent="0.3">
      <c r="A20" s="210" t="s">
        <v>1965</v>
      </c>
      <c r="B20" s="210" t="s">
        <v>1966</v>
      </c>
      <c r="C20" s="211" t="s">
        <v>53</v>
      </c>
      <c r="D20" s="211">
        <v>3</v>
      </c>
      <c r="E20" s="211">
        <v>30</v>
      </c>
      <c r="F20" s="211">
        <v>3</v>
      </c>
      <c r="G20" s="211">
        <v>520</v>
      </c>
      <c r="H20" s="212">
        <v>1630025293</v>
      </c>
      <c r="I20" s="213">
        <v>0</v>
      </c>
      <c r="J20" s="216" t="s">
        <v>31</v>
      </c>
      <c r="K20" s="214" t="s">
        <v>15</v>
      </c>
      <c r="L20" s="219">
        <v>1</v>
      </c>
      <c r="M20" s="214">
        <v>0</v>
      </c>
    </row>
    <row r="21" spans="1:13" ht="47.25" customHeight="1" thickTop="1" thickBot="1" x14ac:dyDescent="0.3">
      <c r="A21" s="210" t="s">
        <v>1965</v>
      </c>
      <c r="B21" s="210" t="s">
        <v>1966</v>
      </c>
      <c r="C21" s="211" t="s">
        <v>53</v>
      </c>
      <c r="D21" s="211">
        <v>3</v>
      </c>
      <c r="E21" s="211">
        <v>30</v>
      </c>
      <c r="F21" s="211">
        <v>3</v>
      </c>
      <c r="G21" s="211">
        <v>520</v>
      </c>
      <c r="H21" s="212">
        <v>4371000000</v>
      </c>
      <c r="I21" s="213">
        <v>0</v>
      </c>
      <c r="J21" s="215" t="s">
        <v>36</v>
      </c>
      <c r="K21" s="214" t="s">
        <v>22</v>
      </c>
      <c r="L21" s="219">
        <v>47</v>
      </c>
      <c r="M21" s="214">
        <v>0</v>
      </c>
    </row>
    <row r="22" spans="1:13" ht="47.25" customHeight="1" thickTop="1" thickBot="1" x14ac:dyDescent="0.3">
      <c r="A22" s="210" t="s">
        <v>1965</v>
      </c>
      <c r="B22" s="210" t="s">
        <v>1966</v>
      </c>
      <c r="C22" s="211" t="s">
        <v>53</v>
      </c>
      <c r="D22" s="211">
        <v>3</v>
      </c>
      <c r="E22" s="211">
        <v>30</v>
      </c>
      <c r="F22" s="211">
        <v>3</v>
      </c>
      <c r="G22" s="211">
        <v>520</v>
      </c>
      <c r="H22" s="212">
        <v>2639000000</v>
      </c>
      <c r="I22" s="213">
        <v>0</v>
      </c>
      <c r="J22" s="215" t="s">
        <v>37</v>
      </c>
      <c r="K22" s="214" t="s">
        <v>22</v>
      </c>
      <c r="L22" s="219">
        <v>203</v>
      </c>
      <c r="M22" s="214">
        <v>0</v>
      </c>
    </row>
    <row r="23" spans="1:13" ht="47.25" customHeight="1" thickTop="1" thickBot="1" x14ac:dyDescent="0.3">
      <c r="A23" s="210" t="s">
        <v>1965</v>
      </c>
      <c r="B23" s="210" t="s">
        <v>1966</v>
      </c>
      <c r="C23" s="211" t="s">
        <v>53</v>
      </c>
      <c r="D23" s="211">
        <v>3</v>
      </c>
      <c r="E23" s="211">
        <v>30</v>
      </c>
      <c r="F23" s="211">
        <v>3</v>
      </c>
      <c r="G23" s="211">
        <v>520</v>
      </c>
      <c r="H23" s="212">
        <v>1134000000</v>
      </c>
      <c r="I23" s="213">
        <v>0</v>
      </c>
      <c r="J23" s="215" t="s">
        <v>38</v>
      </c>
      <c r="K23" s="214" t="s">
        <v>25</v>
      </c>
      <c r="L23" s="219">
        <v>81</v>
      </c>
      <c r="M23" s="214">
        <v>0</v>
      </c>
    </row>
    <row r="24" spans="1:13" ht="47.25" customHeight="1" thickTop="1" thickBot="1" x14ac:dyDescent="0.3">
      <c r="A24" s="210" t="s">
        <v>1965</v>
      </c>
      <c r="B24" s="210" t="s">
        <v>1966</v>
      </c>
      <c r="C24" s="211" t="s">
        <v>53</v>
      </c>
      <c r="D24" s="211">
        <v>3</v>
      </c>
      <c r="E24" s="211">
        <v>30</v>
      </c>
      <c r="F24" s="211">
        <v>3</v>
      </c>
      <c r="G24" s="211">
        <v>520</v>
      </c>
      <c r="H24" s="212">
        <v>336000000</v>
      </c>
      <c r="I24" s="213">
        <v>0</v>
      </c>
      <c r="J24" s="215" t="s">
        <v>39</v>
      </c>
      <c r="K24" s="214" t="s">
        <v>25</v>
      </c>
      <c r="L24" s="219">
        <v>112</v>
      </c>
      <c r="M24" s="214">
        <v>0</v>
      </c>
    </row>
    <row r="25" spans="1:13" ht="47.25" customHeight="1" thickTop="1" thickBot="1" x14ac:dyDescent="0.3">
      <c r="A25" s="210" t="s">
        <v>1965</v>
      </c>
      <c r="B25" s="210" t="s">
        <v>1966</v>
      </c>
      <c r="C25" s="211" t="s">
        <v>53</v>
      </c>
      <c r="D25" s="211">
        <v>3</v>
      </c>
      <c r="E25" s="211">
        <v>30</v>
      </c>
      <c r="F25" s="211">
        <v>3</v>
      </c>
      <c r="G25" s="211">
        <v>520</v>
      </c>
      <c r="H25" s="212">
        <v>1080000000</v>
      </c>
      <c r="I25" s="213">
        <v>0</v>
      </c>
      <c r="J25" s="215" t="s">
        <v>40</v>
      </c>
      <c r="K25" s="214" t="s">
        <v>28</v>
      </c>
      <c r="L25" s="219">
        <v>9</v>
      </c>
      <c r="M25" s="214">
        <v>0</v>
      </c>
    </row>
    <row r="26" spans="1:13" ht="47.25" customHeight="1" thickTop="1" thickBot="1" x14ac:dyDescent="0.3">
      <c r="A26" s="210" t="s">
        <v>1965</v>
      </c>
      <c r="B26" s="210" t="s">
        <v>1966</v>
      </c>
      <c r="C26" s="211" t="s">
        <v>53</v>
      </c>
      <c r="D26" s="211">
        <v>3</v>
      </c>
      <c r="E26" s="211">
        <v>30</v>
      </c>
      <c r="F26" s="211">
        <v>3</v>
      </c>
      <c r="G26" s="211">
        <v>520</v>
      </c>
      <c r="H26" s="212">
        <v>585000000</v>
      </c>
      <c r="I26" s="213">
        <v>0</v>
      </c>
      <c r="J26" s="215" t="s">
        <v>41</v>
      </c>
      <c r="K26" s="242" t="s">
        <v>30</v>
      </c>
      <c r="L26" s="219">
        <v>11</v>
      </c>
      <c r="M26" s="214">
        <v>0</v>
      </c>
    </row>
    <row r="27" spans="1:13" ht="47.25" customHeight="1" thickTop="1" thickBot="1" x14ac:dyDescent="0.3">
      <c r="A27" s="210" t="s">
        <v>1965</v>
      </c>
      <c r="B27" s="210" t="s">
        <v>1966</v>
      </c>
      <c r="C27" s="211" t="s">
        <v>53</v>
      </c>
      <c r="D27" s="211">
        <v>3</v>
      </c>
      <c r="E27" s="211">
        <v>30</v>
      </c>
      <c r="F27" s="211">
        <v>3</v>
      </c>
      <c r="G27" s="211">
        <v>520</v>
      </c>
      <c r="H27" s="212">
        <v>693133045</v>
      </c>
      <c r="I27" s="213">
        <v>0</v>
      </c>
      <c r="J27" s="216" t="s">
        <v>31</v>
      </c>
      <c r="K27" s="214" t="s">
        <v>15</v>
      </c>
      <c r="L27" s="219">
        <v>1</v>
      </c>
      <c r="M27" s="214">
        <v>0</v>
      </c>
    </row>
    <row r="28" spans="1:13" ht="45" customHeight="1" thickTop="1" thickBot="1" x14ac:dyDescent="0.3">
      <c r="A28" s="210" t="s">
        <v>1965</v>
      </c>
      <c r="B28" s="210" t="s">
        <v>1966</v>
      </c>
      <c r="C28" s="211" t="s">
        <v>105</v>
      </c>
      <c r="D28" s="211">
        <v>3</v>
      </c>
      <c r="E28" s="211">
        <v>30</v>
      </c>
      <c r="F28" s="211">
        <v>3</v>
      </c>
      <c r="G28" s="211">
        <v>530</v>
      </c>
      <c r="H28" s="212">
        <v>252300000</v>
      </c>
      <c r="I28" s="213">
        <v>252300000</v>
      </c>
      <c r="J28" s="215" t="s">
        <v>43</v>
      </c>
      <c r="K28" s="214" t="s">
        <v>44</v>
      </c>
      <c r="L28" s="219">
        <v>1740</v>
      </c>
      <c r="M28" s="214">
        <v>1740</v>
      </c>
    </row>
    <row r="29" spans="1:13" ht="45" customHeight="1" thickTop="1" thickBot="1" x14ac:dyDescent="0.3">
      <c r="A29" s="210" t="s">
        <v>1965</v>
      </c>
      <c r="B29" s="210" t="s">
        <v>1966</v>
      </c>
      <c r="C29" s="420" t="s">
        <v>105</v>
      </c>
      <c r="D29" s="211">
        <v>3</v>
      </c>
      <c r="E29" s="211">
        <v>30</v>
      </c>
      <c r="F29" s="211">
        <v>3</v>
      </c>
      <c r="G29" s="211">
        <v>530</v>
      </c>
      <c r="H29" s="212">
        <v>177650000</v>
      </c>
      <c r="I29" s="213">
        <v>177650000</v>
      </c>
      <c r="J29" s="215" t="s">
        <v>45</v>
      </c>
      <c r="K29" s="214" t="s">
        <v>46</v>
      </c>
      <c r="L29" s="219">
        <v>1870</v>
      </c>
      <c r="M29" s="214">
        <v>1870</v>
      </c>
    </row>
    <row r="30" spans="1:13" ht="45" customHeight="1" thickTop="1" thickBot="1" x14ac:dyDescent="0.3">
      <c r="A30" s="210" t="s">
        <v>1965</v>
      </c>
      <c r="B30" s="210" t="s">
        <v>1966</v>
      </c>
      <c r="C30" s="420" t="s">
        <v>105</v>
      </c>
      <c r="D30" s="211">
        <v>3</v>
      </c>
      <c r="E30" s="211">
        <v>30</v>
      </c>
      <c r="F30" s="211">
        <v>3</v>
      </c>
      <c r="G30" s="211">
        <v>530</v>
      </c>
      <c r="H30" s="212">
        <v>380185000</v>
      </c>
      <c r="I30" s="213">
        <v>0</v>
      </c>
      <c r="J30" s="215" t="s">
        <v>47</v>
      </c>
      <c r="K30" s="214" t="s">
        <v>48</v>
      </c>
      <c r="L30" s="219">
        <v>486</v>
      </c>
      <c r="M30" s="214">
        <v>0</v>
      </c>
    </row>
    <row r="31" spans="1:13" ht="45" customHeight="1" thickTop="1" thickBot="1" x14ac:dyDescent="0.3">
      <c r="A31" s="210" t="s">
        <v>1965</v>
      </c>
      <c r="B31" s="210" t="s">
        <v>1966</v>
      </c>
      <c r="C31" s="420" t="s">
        <v>105</v>
      </c>
      <c r="D31" s="211">
        <v>3</v>
      </c>
      <c r="E31" s="211">
        <v>30</v>
      </c>
      <c r="F31" s="211">
        <v>3</v>
      </c>
      <c r="G31" s="211">
        <v>530</v>
      </c>
      <c r="H31" s="212">
        <v>310515000</v>
      </c>
      <c r="I31" s="213">
        <v>0</v>
      </c>
      <c r="J31" s="215" t="s">
        <v>49</v>
      </c>
      <c r="K31" s="214" t="s">
        <v>48</v>
      </c>
      <c r="L31" s="219">
        <v>397</v>
      </c>
      <c r="M31" s="214">
        <v>0</v>
      </c>
    </row>
    <row r="32" spans="1:13" ht="15.75" thickTop="1" x14ac:dyDescent="0.25"/>
  </sheetData>
  <mergeCells count="6">
    <mergeCell ref="D5:G5"/>
    <mergeCell ref="H5:I5"/>
    <mergeCell ref="J5:M5"/>
    <mergeCell ref="A5:A6"/>
    <mergeCell ref="B5:B6"/>
    <mergeCell ref="C5:C6"/>
  </mergeCells>
  <printOptions horizontalCentered="1"/>
  <pageMargins left="0" right="0" top="0.74803149606299213" bottom="0.74803149606299213"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100"/>
  <sheetViews>
    <sheetView showGridLines="0" zoomScaleNormal="100" workbookViewId="0">
      <selection activeCell="A7" sqref="A7"/>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0" customWidth="1"/>
    <col min="11" max="11" width="12.140625" customWidth="1"/>
    <col min="12" max="13" width="15.140625" customWidth="1"/>
  </cols>
  <sheetData>
    <row r="4" spans="1:13" ht="9" customHeight="1" thickBot="1" x14ac:dyDescent="0.3"/>
    <row r="5" spans="1:13" ht="30" customHeight="1" thickTop="1" thickBot="1" x14ac:dyDescent="0.3">
      <c r="A5" s="639" t="s">
        <v>0</v>
      </c>
      <c r="B5" s="639" t="s">
        <v>1</v>
      </c>
      <c r="C5" s="639" t="s">
        <v>2569</v>
      </c>
      <c r="D5" s="636" t="s">
        <v>1961</v>
      </c>
      <c r="E5" s="637"/>
      <c r="F5" s="637"/>
      <c r="G5" s="638"/>
      <c r="H5" s="636" t="s">
        <v>3</v>
      </c>
      <c r="I5" s="637"/>
      <c r="J5" s="636" t="s">
        <v>1962</v>
      </c>
      <c r="K5" s="637"/>
      <c r="L5" s="637"/>
      <c r="M5" s="638"/>
    </row>
    <row r="6" spans="1:13" ht="34.5" customHeight="1" thickTop="1" thickBot="1" x14ac:dyDescent="0.3">
      <c r="A6" s="640"/>
      <c r="B6" s="640"/>
      <c r="C6" s="640"/>
      <c r="D6" s="209" t="s">
        <v>4</v>
      </c>
      <c r="E6" s="209" t="s">
        <v>5</v>
      </c>
      <c r="F6" s="209" t="s">
        <v>6</v>
      </c>
      <c r="G6" s="209" t="s">
        <v>7</v>
      </c>
      <c r="H6" s="209" t="s">
        <v>2</v>
      </c>
      <c r="I6" s="209" t="s">
        <v>3</v>
      </c>
      <c r="J6" s="209" t="s">
        <v>8</v>
      </c>
      <c r="K6" s="209" t="s">
        <v>9</v>
      </c>
      <c r="L6" s="209" t="s">
        <v>1963</v>
      </c>
      <c r="M6" s="209" t="s">
        <v>1964</v>
      </c>
    </row>
    <row r="7" spans="1:13" ht="47.25" customHeight="1" thickTop="1" thickBot="1" x14ac:dyDescent="0.3">
      <c r="A7" s="210" t="s">
        <v>2485</v>
      </c>
      <c r="B7" s="210" t="s">
        <v>2486</v>
      </c>
      <c r="C7" s="211" t="s">
        <v>18</v>
      </c>
      <c r="D7" s="211">
        <v>2</v>
      </c>
      <c r="E7" s="211">
        <v>30</v>
      </c>
      <c r="F7" s="211">
        <v>3</v>
      </c>
      <c r="G7" s="211">
        <v>848</v>
      </c>
      <c r="H7" s="212">
        <v>1288737378</v>
      </c>
      <c r="I7" s="213">
        <v>292795800</v>
      </c>
      <c r="J7" s="221" t="s">
        <v>1967</v>
      </c>
      <c r="K7" s="214" t="s">
        <v>20</v>
      </c>
      <c r="L7" s="219">
        <v>835</v>
      </c>
      <c r="M7" s="214">
        <v>835</v>
      </c>
    </row>
    <row r="8" spans="1:13" ht="47.25" customHeight="1" thickTop="1" thickBot="1" x14ac:dyDescent="0.3">
      <c r="A8" s="210" t="s">
        <v>2485</v>
      </c>
      <c r="B8" s="210" t="s">
        <v>2486</v>
      </c>
      <c r="C8" s="211" t="s">
        <v>53</v>
      </c>
      <c r="D8" s="211">
        <v>2</v>
      </c>
      <c r="E8" s="211">
        <v>30</v>
      </c>
      <c r="F8" s="211">
        <v>3</v>
      </c>
      <c r="G8" s="211">
        <v>520</v>
      </c>
      <c r="H8" s="212">
        <v>2100000000</v>
      </c>
      <c r="I8" s="213">
        <v>623024587</v>
      </c>
      <c r="J8" s="216" t="s">
        <v>54</v>
      </c>
      <c r="K8" s="214" t="s">
        <v>55</v>
      </c>
      <c r="L8" s="219">
        <v>21</v>
      </c>
      <c r="M8" s="214">
        <v>4</v>
      </c>
    </row>
    <row r="9" spans="1:13" ht="47.25" customHeight="1" thickTop="1" thickBot="1" x14ac:dyDescent="0.3">
      <c r="A9" s="210" t="s">
        <v>2485</v>
      </c>
      <c r="B9" s="210" t="s">
        <v>2486</v>
      </c>
      <c r="C9" s="211" t="s">
        <v>53</v>
      </c>
      <c r="D9" s="211">
        <v>2</v>
      </c>
      <c r="E9" s="211">
        <v>30</v>
      </c>
      <c r="F9" s="211">
        <v>3</v>
      </c>
      <c r="G9" s="211">
        <v>520</v>
      </c>
      <c r="H9" s="212">
        <v>440000000</v>
      </c>
      <c r="I9" s="213">
        <v>132000000</v>
      </c>
      <c r="J9" s="216" t="s">
        <v>56</v>
      </c>
      <c r="K9" s="214" t="s">
        <v>55</v>
      </c>
      <c r="L9" s="219">
        <v>11</v>
      </c>
      <c r="M9" s="214">
        <v>3.3</v>
      </c>
    </row>
    <row r="10" spans="1:13" ht="47.25" customHeight="1" thickTop="1" thickBot="1" x14ac:dyDescent="0.3">
      <c r="A10" s="210" t="s">
        <v>2485</v>
      </c>
      <c r="B10" s="210" t="s">
        <v>2486</v>
      </c>
      <c r="C10" s="211" t="s">
        <v>53</v>
      </c>
      <c r="D10" s="211">
        <v>2</v>
      </c>
      <c r="E10" s="211">
        <v>30</v>
      </c>
      <c r="F10" s="211">
        <v>3</v>
      </c>
      <c r="G10" s="211">
        <v>520</v>
      </c>
      <c r="H10" s="212">
        <v>210000000</v>
      </c>
      <c r="I10" s="213">
        <v>60000000</v>
      </c>
      <c r="J10" s="216" t="s">
        <v>57</v>
      </c>
      <c r="K10" s="214" t="s">
        <v>25</v>
      </c>
      <c r="L10" s="219">
        <v>6</v>
      </c>
      <c r="M10" s="214">
        <v>2</v>
      </c>
    </row>
    <row r="11" spans="1:13" ht="47.25" customHeight="1" thickTop="1" thickBot="1" x14ac:dyDescent="0.3">
      <c r="A11" s="210" t="s">
        <v>2485</v>
      </c>
      <c r="B11" s="210" t="s">
        <v>2486</v>
      </c>
      <c r="C11" s="211" t="s">
        <v>53</v>
      </c>
      <c r="D11" s="211">
        <v>2</v>
      </c>
      <c r="E11" s="211">
        <v>30</v>
      </c>
      <c r="F11" s="211">
        <v>3</v>
      </c>
      <c r="G11" s="211">
        <v>520</v>
      </c>
      <c r="H11" s="212">
        <v>64000000</v>
      </c>
      <c r="I11" s="213">
        <v>19200000</v>
      </c>
      <c r="J11" s="216" t="s">
        <v>58</v>
      </c>
      <c r="K11" s="214" t="s">
        <v>25</v>
      </c>
      <c r="L11" s="219">
        <v>4</v>
      </c>
      <c r="M11" s="214">
        <v>1</v>
      </c>
    </row>
    <row r="12" spans="1:13" ht="47.25" customHeight="1" thickTop="1" thickBot="1" x14ac:dyDescent="0.3">
      <c r="A12" s="210" t="s">
        <v>2485</v>
      </c>
      <c r="B12" s="210" t="s">
        <v>2486</v>
      </c>
      <c r="C12" s="211" t="s">
        <v>53</v>
      </c>
      <c r="D12" s="211">
        <v>2</v>
      </c>
      <c r="E12" s="211">
        <v>30</v>
      </c>
      <c r="F12" s="211">
        <v>3</v>
      </c>
      <c r="G12" s="211">
        <v>520</v>
      </c>
      <c r="H12" s="212">
        <v>115000000</v>
      </c>
      <c r="I12" s="213">
        <v>32000000</v>
      </c>
      <c r="J12" s="216" t="s">
        <v>59</v>
      </c>
      <c r="K12" s="214" t="s">
        <v>60</v>
      </c>
      <c r="L12" s="219">
        <v>1</v>
      </c>
      <c r="M12" s="214">
        <v>0</v>
      </c>
    </row>
    <row r="13" spans="1:13" ht="47.25" customHeight="1" thickTop="1" thickBot="1" x14ac:dyDescent="0.3">
      <c r="A13" s="210" t="s">
        <v>2485</v>
      </c>
      <c r="B13" s="210" t="s">
        <v>2486</v>
      </c>
      <c r="C13" s="211" t="s">
        <v>53</v>
      </c>
      <c r="D13" s="211">
        <v>2</v>
      </c>
      <c r="E13" s="211">
        <v>30</v>
      </c>
      <c r="F13" s="211">
        <v>3</v>
      </c>
      <c r="G13" s="211">
        <v>520</v>
      </c>
      <c r="H13" s="212">
        <v>28053882</v>
      </c>
      <c r="I13" s="213">
        <v>0</v>
      </c>
      <c r="J13" s="216" t="s">
        <v>61</v>
      </c>
      <c r="K13" s="214" t="s">
        <v>13</v>
      </c>
      <c r="L13" s="219">
        <v>1</v>
      </c>
      <c r="M13" s="214">
        <v>0</v>
      </c>
    </row>
    <row r="14" spans="1:13" ht="47.25" customHeight="1" thickTop="1" thickBot="1" x14ac:dyDescent="0.3">
      <c r="A14" s="210" t="s">
        <v>2485</v>
      </c>
      <c r="B14" s="210" t="s">
        <v>2486</v>
      </c>
      <c r="C14" s="211" t="s">
        <v>53</v>
      </c>
      <c r="D14" s="211">
        <v>2</v>
      </c>
      <c r="E14" s="211">
        <v>30</v>
      </c>
      <c r="F14" s="211">
        <v>3</v>
      </c>
      <c r="G14" s="211">
        <v>540</v>
      </c>
      <c r="H14" s="212">
        <v>19148000</v>
      </c>
      <c r="I14" s="213">
        <v>15744000</v>
      </c>
      <c r="J14" s="216" t="s">
        <v>62</v>
      </c>
      <c r="K14" s="214" t="s">
        <v>46</v>
      </c>
      <c r="L14" s="219">
        <v>192</v>
      </c>
      <c r="M14" s="214">
        <v>60</v>
      </c>
    </row>
    <row r="15" spans="1:13" ht="47.25" customHeight="1" thickTop="1" thickBot="1" x14ac:dyDescent="0.3">
      <c r="A15" s="210" t="s">
        <v>2485</v>
      </c>
      <c r="B15" s="210" t="s">
        <v>2486</v>
      </c>
      <c r="C15" s="211" t="s">
        <v>53</v>
      </c>
      <c r="D15" s="211">
        <v>2</v>
      </c>
      <c r="E15" s="211">
        <v>30</v>
      </c>
      <c r="F15" s="211">
        <v>3</v>
      </c>
      <c r="G15" s="211">
        <v>540</v>
      </c>
      <c r="H15" s="212">
        <v>19152000</v>
      </c>
      <c r="I15" s="213">
        <v>19152000</v>
      </c>
      <c r="J15" s="216" t="s">
        <v>63</v>
      </c>
      <c r="K15" s="214" t="s">
        <v>1986</v>
      </c>
      <c r="L15" s="219">
        <v>144</v>
      </c>
      <c r="M15" s="214">
        <v>45</v>
      </c>
    </row>
    <row r="16" spans="1:13" ht="47.25" customHeight="1" thickTop="1" thickBot="1" x14ac:dyDescent="0.3">
      <c r="A16" s="210" t="s">
        <v>2485</v>
      </c>
      <c r="B16" s="210" t="s">
        <v>2486</v>
      </c>
      <c r="C16" s="211" t="s">
        <v>53</v>
      </c>
      <c r="D16" s="211">
        <v>2</v>
      </c>
      <c r="E16" s="211">
        <v>30</v>
      </c>
      <c r="F16" s="211">
        <v>3</v>
      </c>
      <c r="G16" s="211">
        <v>540</v>
      </c>
      <c r="H16" s="212">
        <v>2700000</v>
      </c>
      <c r="I16" s="213">
        <v>2700000</v>
      </c>
      <c r="J16" s="216" t="s">
        <v>64</v>
      </c>
      <c r="K16" s="214" t="s">
        <v>190</v>
      </c>
      <c r="L16" s="219">
        <v>6</v>
      </c>
      <c r="M16" s="214">
        <v>2</v>
      </c>
    </row>
    <row r="17" spans="1:13" ht="47.25" customHeight="1" thickTop="1" thickBot="1" x14ac:dyDescent="0.3">
      <c r="A17" s="210" t="s">
        <v>2485</v>
      </c>
      <c r="B17" s="210" t="s">
        <v>2486</v>
      </c>
      <c r="C17" s="211" t="s">
        <v>53</v>
      </c>
      <c r="D17" s="211">
        <v>2</v>
      </c>
      <c r="E17" s="211">
        <v>30</v>
      </c>
      <c r="F17" s="211">
        <v>3</v>
      </c>
      <c r="G17" s="211">
        <v>540</v>
      </c>
      <c r="H17" s="212">
        <v>5160000</v>
      </c>
      <c r="I17" s="213">
        <v>5160000</v>
      </c>
      <c r="J17" s="216" t="s">
        <v>65</v>
      </c>
      <c r="K17" s="214" t="s">
        <v>66</v>
      </c>
      <c r="L17" s="219">
        <v>7</v>
      </c>
      <c r="M17" s="214">
        <v>2</v>
      </c>
    </row>
    <row r="18" spans="1:13" ht="47.25" customHeight="1" thickTop="1" thickBot="1" x14ac:dyDescent="0.3">
      <c r="A18" s="210" t="s">
        <v>2485</v>
      </c>
      <c r="B18" s="210" t="s">
        <v>2486</v>
      </c>
      <c r="C18" s="211" t="s">
        <v>53</v>
      </c>
      <c r="D18" s="211">
        <v>2</v>
      </c>
      <c r="E18" s="211">
        <v>30</v>
      </c>
      <c r="F18" s="211">
        <v>3</v>
      </c>
      <c r="G18" s="211">
        <v>540</v>
      </c>
      <c r="H18" s="212">
        <v>3840000</v>
      </c>
      <c r="I18" s="213">
        <v>3840000</v>
      </c>
      <c r="J18" s="216" t="s">
        <v>67</v>
      </c>
      <c r="K18" s="214" t="s">
        <v>1985</v>
      </c>
      <c r="L18" s="219">
        <v>4</v>
      </c>
      <c r="M18" s="214">
        <v>1</v>
      </c>
    </row>
    <row r="19" spans="1:13" ht="16.5" thickTop="1" thickBot="1" x14ac:dyDescent="0.3">
      <c r="A19" s="222"/>
      <c r="B19" s="222"/>
      <c r="C19" s="223"/>
      <c r="D19" s="224"/>
      <c r="E19" s="224"/>
      <c r="F19" s="224"/>
      <c r="G19" s="224"/>
      <c r="H19" s="225"/>
      <c r="I19" s="225"/>
      <c r="J19" s="224"/>
      <c r="K19" s="224"/>
      <c r="L19" s="224"/>
      <c r="M19" s="224"/>
    </row>
    <row r="20" spans="1:13" ht="30" customHeight="1" thickTop="1" thickBot="1" x14ac:dyDescent="0.3">
      <c r="A20" s="639" t="s">
        <v>0</v>
      </c>
      <c r="B20" s="639" t="s">
        <v>1</v>
      </c>
      <c r="C20" s="639" t="s">
        <v>2569</v>
      </c>
      <c r="D20" s="636" t="s">
        <v>1961</v>
      </c>
      <c r="E20" s="637"/>
      <c r="F20" s="637"/>
      <c r="G20" s="638"/>
      <c r="H20" s="636" t="s">
        <v>3</v>
      </c>
      <c r="I20" s="637"/>
      <c r="J20" s="636" t="s">
        <v>1962</v>
      </c>
      <c r="K20" s="637"/>
      <c r="L20" s="637"/>
      <c r="M20" s="638"/>
    </row>
    <row r="21" spans="1:13" ht="34.5" customHeight="1" thickTop="1" thickBot="1" x14ac:dyDescent="0.3">
      <c r="A21" s="640"/>
      <c r="B21" s="640"/>
      <c r="C21" s="640"/>
      <c r="D21" s="209" t="s">
        <v>4</v>
      </c>
      <c r="E21" s="209" t="s">
        <v>5</v>
      </c>
      <c r="F21" s="209" t="s">
        <v>6</v>
      </c>
      <c r="G21" s="209" t="s">
        <v>7</v>
      </c>
      <c r="H21" s="209" t="s">
        <v>2</v>
      </c>
      <c r="I21" s="209" t="s">
        <v>3</v>
      </c>
      <c r="J21" s="209" t="s">
        <v>8</v>
      </c>
      <c r="K21" s="209" t="s">
        <v>9</v>
      </c>
      <c r="L21" s="209" t="s">
        <v>1963</v>
      </c>
      <c r="M21" s="209" t="s">
        <v>1964</v>
      </c>
    </row>
    <row r="22" spans="1:13" s="3" customFormat="1" ht="51" customHeight="1" thickTop="1" thickBot="1" x14ac:dyDescent="0.25">
      <c r="A22" s="210" t="s">
        <v>2487</v>
      </c>
      <c r="B22" s="210" t="s">
        <v>2488</v>
      </c>
      <c r="C22" s="211" t="s">
        <v>18</v>
      </c>
      <c r="D22" s="649">
        <v>2</v>
      </c>
      <c r="E22" s="649">
        <v>30</v>
      </c>
      <c r="F22" s="649">
        <v>3</v>
      </c>
      <c r="G22" s="649">
        <v>848</v>
      </c>
      <c r="H22" s="645">
        <v>393822261</v>
      </c>
      <c r="I22" s="647">
        <v>298630000</v>
      </c>
      <c r="J22" s="216" t="s">
        <v>74</v>
      </c>
      <c r="K22" s="214" t="s">
        <v>20</v>
      </c>
      <c r="L22" s="219">
        <v>298</v>
      </c>
      <c r="M22" s="214">
        <v>298</v>
      </c>
    </row>
    <row r="23" spans="1:13" s="3" customFormat="1" ht="59.25" customHeight="1" thickTop="1" thickBot="1" x14ac:dyDescent="0.25">
      <c r="A23" s="210" t="s">
        <v>2487</v>
      </c>
      <c r="B23" s="210" t="s">
        <v>2488</v>
      </c>
      <c r="C23" s="211" t="s">
        <v>18</v>
      </c>
      <c r="D23" s="650"/>
      <c r="E23" s="650"/>
      <c r="F23" s="650"/>
      <c r="G23" s="650"/>
      <c r="H23" s="646"/>
      <c r="I23" s="648"/>
      <c r="J23" s="221" t="s">
        <v>2570</v>
      </c>
      <c r="K23" s="214" t="s">
        <v>75</v>
      </c>
      <c r="L23" s="219">
        <v>30958</v>
      </c>
      <c r="M23" s="214">
        <v>23480</v>
      </c>
    </row>
    <row r="24" spans="1:13" s="3" customFormat="1" ht="47.25" customHeight="1" thickTop="1" thickBot="1" x14ac:dyDescent="0.25">
      <c r="A24" s="210" t="s">
        <v>2487</v>
      </c>
      <c r="B24" s="210" t="s">
        <v>2488</v>
      </c>
      <c r="C24" s="211" t="s">
        <v>53</v>
      </c>
      <c r="D24" s="211">
        <v>3</v>
      </c>
      <c r="E24" s="211">
        <v>30</v>
      </c>
      <c r="F24" s="211">
        <v>3</v>
      </c>
      <c r="G24" s="211">
        <v>520</v>
      </c>
      <c r="H24" s="212">
        <v>479388210</v>
      </c>
      <c r="I24" s="213">
        <v>477670328</v>
      </c>
      <c r="J24" s="216" t="s">
        <v>76</v>
      </c>
      <c r="K24" s="214" t="s">
        <v>55</v>
      </c>
      <c r="L24" s="219">
        <v>3</v>
      </c>
      <c r="M24" s="214">
        <v>3</v>
      </c>
    </row>
    <row r="25" spans="1:13" s="3" customFormat="1" ht="48" customHeight="1" thickTop="1" thickBot="1" x14ac:dyDescent="0.25">
      <c r="A25" s="210" t="s">
        <v>2487</v>
      </c>
      <c r="B25" s="210" t="s">
        <v>2488</v>
      </c>
      <c r="C25" s="211" t="s">
        <v>53</v>
      </c>
      <c r="D25" s="211">
        <v>3</v>
      </c>
      <c r="E25" s="211">
        <v>30</v>
      </c>
      <c r="F25" s="211">
        <v>3</v>
      </c>
      <c r="G25" s="211">
        <v>520</v>
      </c>
      <c r="H25" s="212">
        <v>987864259</v>
      </c>
      <c r="I25" s="213">
        <v>609270721</v>
      </c>
      <c r="J25" s="221" t="s">
        <v>77</v>
      </c>
      <c r="K25" s="214" t="s">
        <v>13</v>
      </c>
      <c r="L25" s="219">
        <v>10</v>
      </c>
      <c r="M25" s="214">
        <v>6</v>
      </c>
    </row>
    <row r="26" spans="1:13" s="3" customFormat="1" ht="51" customHeight="1" thickTop="1" thickBot="1" x14ac:dyDescent="0.25">
      <c r="A26" s="210" t="s">
        <v>2487</v>
      </c>
      <c r="B26" s="210" t="s">
        <v>2488</v>
      </c>
      <c r="C26" s="211" t="s">
        <v>1987</v>
      </c>
      <c r="D26" s="211">
        <v>3</v>
      </c>
      <c r="E26" s="211">
        <v>30</v>
      </c>
      <c r="F26" s="211">
        <v>3</v>
      </c>
      <c r="G26" s="211">
        <v>540</v>
      </c>
      <c r="H26" s="212">
        <v>296388254</v>
      </c>
      <c r="I26" s="213">
        <v>0</v>
      </c>
      <c r="J26" s="216" t="s">
        <v>78</v>
      </c>
      <c r="K26" s="214" t="s">
        <v>17</v>
      </c>
      <c r="L26" s="219">
        <v>10</v>
      </c>
      <c r="M26" s="214">
        <v>0</v>
      </c>
    </row>
    <row r="27" spans="1:13" s="3" customFormat="1" ht="14.25" thickTop="1" thickBot="1" x14ac:dyDescent="0.25">
      <c r="A27" s="4"/>
      <c r="B27" s="4"/>
      <c r="C27" s="5"/>
      <c r="D27" s="7"/>
      <c r="E27" s="8"/>
      <c r="F27" s="8"/>
      <c r="G27" s="7"/>
      <c r="H27" s="9"/>
      <c r="I27" s="10"/>
      <c r="J27" s="6"/>
      <c r="K27" s="12"/>
      <c r="L27" s="8"/>
      <c r="M27" s="8"/>
    </row>
    <row r="28" spans="1:13" s="3" customFormat="1" ht="30" customHeight="1" thickTop="1" thickBot="1" x14ac:dyDescent="0.25">
      <c r="A28" s="639" t="s">
        <v>0</v>
      </c>
      <c r="B28" s="639" t="s">
        <v>1</v>
      </c>
      <c r="C28" s="639" t="s">
        <v>2569</v>
      </c>
      <c r="D28" s="636" t="s">
        <v>1961</v>
      </c>
      <c r="E28" s="637"/>
      <c r="F28" s="637"/>
      <c r="G28" s="638"/>
      <c r="H28" s="636" t="s">
        <v>3</v>
      </c>
      <c r="I28" s="637"/>
      <c r="J28" s="636" t="s">
        <v>1962</v>
      </c>
      <c r="K28" s="637"/>
      <c r="L28" s="637"/>
      <c r="M28" s="638"/>
    </row>
    <row r="29" spans="1:13" s="3" customFormat="1" ht="34.5" customHeight="1" thickTop="1" thickBot="1" x14ac:dyDescent="0.25">
      <c r="A29" s="640"/>
      <c r="B29" s="640"/>
      <c r="C29" s="640"/>
      <c r="D29" s="209" t="s">
        <v>4</v>
      </c>
      <c r="E29" s="209" t="s">
        <v>5</v>
      </c>
      <c r="F29" s="209" t="s">
        <v>6</v>
      </c>
      <c r="G29" s="209" t="s">
        <v>7</v>
      </c>
      <c r="H29" s="209" t="s">
        <v>2</v>
      </c>
      <c r="I29" s="209" t="s">
        <v>3</v>
      </c>
      <c r="J29" s="209" t="s">
        <v>8</v>
      </c>
      <c r="K29" s="209" t="s">
        <v>9</v>
      </c>
      <c r="L29" s="209" t="s">
        <v>1963</v>
      </c>
      <c r="M29" s="209" t="s">
        <v>1964</v>
      </c>
    </row>
    <row r="30" spans="1:13" ht="57.75" thickTop="1" thickBot="1" x14ac:dyDescent="0.3">
      <c r="A30" s="210" t="s">
        <v>79</v>
      </c>
      <c r="B30" s="210" t="s">
        <v>2488</v>
      </c>
      <c r="C30" s="211" t="s">
        <v>18</v>
      </c>
      <c r="D30" s="211">
        <v>2</v>
      </c>
      <c r="E30" s="211">
        <v>30</v>
      </c>
      <c r="F30" s="211">
        <v>3</v>
      </c>
      <c r="G30" s="211">
        <v>848</v>
      </c>
      <c r="H30" s="212">
        <f>932371282-162</f>
        <v>932371120</v>
      </c>
      <c r="I30" s="213">
        <v>449494000</v>
      </c>
      <c r="J30" s="216" t="s">
        <v>86</v>
      </c>
      <c r="K30" s="214" t="s">
        <v>20</v>
      </c>
      <c r="L30" s="219">
        <v>2500</v>
      </c>
      <c r="M30" s="214">
        <v>1210</v>
      </c>
    </row>
    <row r="31" spans="1:13" ht="48.75" customHeight="1" thickTop="1" thickBot="1" x14ac:dyDescent="0.3">
      <c r="A31" s="210" t="s">
        <v>79</v>
      </c>
      <c r="B31" s="210" t="s">
        <v>2488</v>
      </c>
      <c r="C31" s="211" t="s">
        <v>53</v>
      </c>
      <c r="D31" s="211">
        <v>2</v>
      </c>
      <c r="E31" s="211">
        <v>30</v>
      </c>
      <c r="F31" s="211">
        <v>3</v>
      </c>
      <c r="G31" s="211">
        <v>520</v>
      </c>
      <c r="H31" s="212">
        <f>400000000+252906151+52196830</f>
        <v>705102981</v>
      </c>
      <c r="I31" s="213">
        <f>400000000+252906151+52196830</f>
        <v>705102981</v>
      </c>
      <c r="J31" s="216" t="s">
        <v>87</v>
      </c>
      <c r="K31" s="214" t="s">
        <v>55</v>
      </c>
      <c r="L31" s="219">
        <v>4</v>
      </c>
      <c r="M31" s="214">
        <v>4</v>
      </c>
    </row>
    <row r="32" spans="1:13" ht="48.75" customHeight="1" thickTop="1" thickBot="1" x14ac:dyDescent="0.3">
      <c r="A32" s="210" t="s">
        <v>79</v>
      </c>
      <c r="B32" s="210" t="s">
        <v>2488</v>
      </c>
      <c r="C32" s="211" t="s">
        <v>53</v>
      </c>
      <c r="D32" s="211">
        <v>2</v>
      </c>
      <c r="E32" s="211">
        <v>30</v>
      </c>
      <c r="F32" s="211">
        <v>3</v>
      </c>
      <c r="G32" s="211">
        <v>520</v>
      </c>
      <c r="H32" s="212">
        <v>180000000</v>
      </c>
      <c r="I32" s="213">
        <v>180000000</v>
      </c>
      <c r="J32" s="216" t="s">
        <v>88</v>
      </c>
      <c r="K32" s="214" t="s">
        <v>25</v>
      </c>
      <c r="L32" s="219">
        <v>6</v>
      </c>
      <c r="M32" s="214">
        <v>6</v>
      </c>
    </row>
    <row r="33" spans="1:13" ht="48.75" customHeight="1" thickTop="1" thickBot="1" x14ac:dyDescent="0.3">
      <c r="A33" s="210" t="s">
        <v>79</v>
      </c>
      <c r="B33" s="210" t="s">
        <v>2488</v>
      </c>
      <c r="C33" s="211" t="s">
        <v>53</v>
      </c>
      <c r="D33" s="211">
        <v>2</v>
      </c>
      <c r="E33" s="211">
        <v>30</v>
      </c>
      <c r="F33" s="211">
        <v>3</v>
      </c>
      <c r="G33" s="211">
        <v>520</v>
      </c>
      <c r="H33" s="212">
        <f>184255309+900000000-415406151</f>
        <v>668849158</v>
      </c>
      <c r="I33" s="213">
        <f>184255309+900000000-415406151</f>
        <v>668849158</v>
      </c>
      <c r="J33" s="216" t="s">
        <v>89</v>
      </c>
      <c r="K33" s="214" t="s">
        <v>81</v>
      </c>
      <c r="L33" s="219">
        <v>4</v>
      </c>
      <c r="M33" s="214">
        <v>4</v>
      </c>
    </row>
    <row r="34" spans="1:13" ht="39.75" customHeight="1" thickTop="1" thickBot="1" x14ac:dyDescent="0.3">
      <c r="A34" s="210" t="s">
        <v>79</v>
      </c>
      <c r="B34" s="210" t="s">
        <v>2488</v>
      </c>
      <c r="C34" s="211" t="s">
        <v>440</v>
      </c>
      <c r="D34" s="211">
        <v>2</v>
      </c>
      <c r="E34" s="211">
        <v>30</v>
      </c>
      <c r="F34" s="211">
        <v>3</v>
      </c>
      <c r="G34" s="211">
        <v>520</v>
      </c>
      <c r="H34" s="212">
        <f>621580855-378</f>
        <v>621580477</v>
      </c>
      <c r="I34" s="213">
        <f>134500000+68000000+170048165+248000000</f>
        <v>620548165</v>
      </c>
      <c r="J34" s="216" t="s">
        <v>91</v>
      </c>
      <c r="K34" s="214" t="s">
        <v>11</v>
      </c>
      <c r="L34" s="219">
        <v>5000</v>
      </c>
      <c r="M34" s="214">
        <v>4975</v>
      </c>
    </row>
    <row r="35" spans="1:13" ht="35.25" thickTop="1" thickBot="1" x14ac:dyDescent="0.3">
      <c r="A35" s="210" t="s">
        <v>79</v>
      </c>
      <c r="B35" s="210" t="s">
        <v>2488</v>
      </c>
      <c r="C35" s="211" t="s">
        <v>92</v>
      </c>
      <c r="D35" s="211">
        <v>2</v>
      </c>
      <c r="E35" s="211">
        <v>30</v>
      </c>
      <c r="F35" s="211">
        <v>3</v>
      </c>
      <c r="G35" s="211">
        <v>520</v>
      </c>
      <c r="H35" s="212">
        <v>0</v>
      </c>
      <c r="I35" s="213">
        <v>0</v>
      </c>
      <c r="J35" s="216" t="s">
        <v>93</v>
      </c>
      <c r="K35" s="214" t="s">
        <v>46</v>
      </c>
      <c r="L35" s="219">
        <v>100</v>
      </c>
      <c r="M35" s="214">
        <v>0</v>
      </c>
    </row>
    <row r="36" spans="1:13" ht="15" customHeight="1" thickTop="1" thickBot="1" x14ac:dyDescent="0.3">
      <c r="A36" s="2"/>
      <c r="B36" s="13"/>
      <c r="C36" s="5"/>
      <c r="D36" s="7"/>
      <c r="E36" s="7"/>
      <c r="F36" s="14"/>
      <c r="G36" s="7"/>
      <c r="H36" s="10"/>
      <c r="I36" s="10"/>
      <c r="J36" s="6"/>
      <c r="K36" s="12"/>
      <c r="L36" s="220"/>
      <c r="M36" s="7"/>
    </row>
    <row r="37" spans="1:13" ht="30" customHeight="1" thickTop="1" thickBot="1" x14ac:dyDescent="0.3">
      <c r="A37" s="639" t="s">
        <v>0</v>
      </c>
      <c r="B37" s="639" t="s">
        <v>1</v>
      </c>
      <c r="C37" s="639" t="s">
        <v>2569</v>
      </c>
      <c r="D37" s="636" t="s">
        <v>1961</v>
      </c>
      <c r="E37" s="637"/>
      <c r="F37" s="637"/>
      <c r="G37" s="638"/>
      <c r="H37" s="636" t="s">
        <v>3</v>
      </c>
      <c r="I37" s="637"/>
      <c r="J37" s="636" t="s">
        <v>1962</v>
      </c>
      <c r="K37" s="637"/>
      <c r="L37" s="637"/>
      <c r="M37" s="638"/>
    </row>
    <row r="38" spans="1:13" ht="34.5" customHeight="1" thickTop="1" thickBot="1" x14ac:dyDescent="0.3">
      <c r="A38" s="640"/>
      <c r="B38" s="640"/>
      <c r="C38" s="640"/>
      <c r="D38" s="209" t="s">
        <v>4</v>
      </c>
      <c r="E38" s="209" t="s">
        <v>5</v>
      </c>
      <c r="F38" s="209" t="s">
        <v>6</v>
      </c>
      <c r="G38" s="209" t="s">
        <v>7</v>
      </c>
      <c r="H38" s="209" t="s">
        <v>2</v>
      </c>
      <c r="I38" s="209" t="s">
        <v>3</v>
      </c>
      <c r="J38" s="209" t="s">
        <v>8</v>
      </c>
      <c r="K38" s="209" t="s">
        <v>9</v>
      </c>
      <c r="L38" s="209" t="s">
        <v>1963</v>
      </c>
      <c r="M38" s="209" t="s">
        <v>1964</v>
      </c>
    </row>
    <row r="39" spans="1:13" ht="51" customHeight="1" thickTop="1" thickBot="1" x14ac:dyDescent="0.3">
      <c r="A39" s="210" t="s">
        <v>94</v>
      </c>
      <c r="B39" s="210" t="s">
        <v>2488</v>
      </c>
      <c r="C39" s="211" t="s">
        <v>70</v>
      </c>
      <c r="D39" s="211">
        <v>3</v>
      </c>
      <c r="E39" s="211">
        <v>30</v>
      </c>
      <c r="F39" s="211">
        <v>3</v>
      </c>
      <c r="G39" s="211">
        <v>848</v>
      </c>
      <c r="H39" s="212">
        <v>525562034</v>
      </c>
      <c r="I39" s="213">
        <v>375513000</v>
      </c>
      <c r="J39" s="216" t="s">
        <v>97</v>
      </c>
      <c r="K39" s="214" t="s">
        <v>20</v>
      </c>
      <c r="L39" s="219">
        <v>398</v>
      </c>
      <c r="M39" s="214">
        <v>398</v>
      </c>
    </row>
    <row r="40" spans="1:13" ht="51" customHeight="1" thickTop="1" thickBot="1" x14ac:dyDescent="0.3">
      <c r="A40" s="210" t="s">
        <v>94</v>
      </c>
      <c r="B40" s="210" t="s">
        <v>2488</v>
      </c>
      <c r="C40" s="211" t="s">
        <v>70</v>
      </c>
      <c r="D40" s="211"/>
      <c r="E40" s="211"/>
      <c r="F40" s="211"/>
      <c r="G40" s="211"/>
      <c r="H40" s="212"/>
      <c r="I40" s="213"/>
      <c r="J40" s="216" t="s">
        <v>98</v>
      </c>
      <c r="K40" s="214" t="s">
        <v>75</v>
      </c>
      <c r="L40" s="219">
        <v>46330</v>
      </c>
      <c r="M40" s="214">
        <f>47362000/8500</f>
        <v>5572</v>
      </c>
    </row>
    <row r="41" spans="1:13" ht="35.25" thickTop="1" thickBot="1" x14ac:dyDescent="0.3">
      <c r="A41" s="210" t="s">
        <v>94</v>
      </c>
      <c r="B41" s="210" t="s">
        <v>2488</v>
      </c>
      <c r="C41" s="211" t="s">
        <v>90</v>
      </c>
      <c r="D41" s="211">
        <v>3</v>
      </c>
      <c r="E41" s="211">
        <v>30</v>
      </c>
      <c r="F41" s="211">
        <v>3</v>
      </c>
      <c r="G41" s="211">
        <v>520</v>
      </c>
      <c r="H41" s="212">
        <v>235153282</v>
      </c>
      <c r="I41" s="213">
        <v>0</v>
      </c>
      <c r="J41" s="216" t="s">
        <v>99</v>
      </c>
      <c r="K41" s="214" t="s">
        <v>11</v>
      </c>
      <c r="L41" s="219">
        <v>1133</v>
      </c>
      <c r="M41" s="214">
        <v>0</v>
      </c>
    </row>
    <row r="42" spans="1:13" ht="48.75" customHeight="1" thickTop="1" thickBot="1" x14ac:dyDescent="0.3">
      <c r="A42" s="210" t="s">
        <v>94</v>
      </c>
      <c r="B42" s="210" t="s">
        <v>2488</v>
      </c>
      <c r="C42" s="211" t="s">
        <v>53</v>
      </c>
      <c r="D42" s="211">
        <v>3</v>
      </c>
      <c r="E42" s="211">
        <v>30</v>
      </c>
      <c r="F42" s="211">
        <v>3</v>
      </c>
      <c r="G42" s="211">
        <v>520</v>
      </c>
      <c r="H42" s="212">
        <f>591508260-6404802</f>
        <v>585103458</v>
      </c>
      <c r="I42" s="213">
        <v>262550000</v>
      </c>
      <c r="J42" s="216" t="s">
        <v>100</v>
      </c>
      <c r="K42" s="214" t="s">
        <v>55</v>
      </c>
      <c r="L42" s="219">
        <v>9</v>
      </c>
      <c r="M42" s="214">
        <v>2</v>
      </c>
    </row>
    <row r="43" spans="1:13" ht="48.75" customHeight="1" thickTop="1" thickBot="1" x14ac:dyDescent="0.3">
      <c r="A43" s="210" t="s">
        <v>94</v>
      </c>
      <c r="B43" s="210" t="s">
        <v>2488</v>
      </c>
      <c r="C43" s="211" t="s">
        <v>53</v>
      </c>
      <c r="D43" s="211">
        <v>3</v>
      </c>
      <c r="E43" s="211">
        <v>30</v>
      </c>
      <c r="F43" s="211">
        <v>3</v>
      </c>
      <c r="G43" s="211">
        <v>520</v>
      </c>
      <c r="H43" s="212">
        <v>36000000</v>
      </c>
      <c r="I43" s="213">
        <v>34870000</v>
      </c>
      <c r="J43" s="216" t="s">
        <v>101</v>
      </c>
      <c r="K43" s="214" t="s">
        <v>25</v>
      </c>
      <c r="L43" s="219">
        <v>2</v>
      </c>
      <c r="M43" s="214">
        <v>2</v>
      </c>
    </row>
    <row r="44" spans="1:13" ht="48.75" customHeight="1" thickTop="1" thickBot="1" x14ac:dyDescent="0.3">
      <c r="A44" s="210" t="s">
        <v>94</v>
      </c>
      <c r="B44" s="210" t="s">
        <v>2488</v>
      </c>
      <c r="C44" s="211" t="s">
        <v>53</v>
      </c>
      <c r="D44" s="211">
        <v>3</v>
      </c>
      <c r="E44" s="211">
        <v>30</v>
      </c>
      <c r="F44" s="211">
        <v>3</v>
      </c>
      <c r="G44" s="211">
        <v>520</v>
      </c>
      <c r="H44" s="212">
        <v>140000000</v>
      </c>
      <c r="I44" s="213">
        <v>137235600</v>
      </c>
      <c r="J44" s="216" t="s">
        <v>102</v>
      </c>
      <c r="K44" s="214" t="s">
        <v>103</v>
      </c>
      <c r="L44" s="219">
        <v>2</v>
      </c>
      <c r="M44" s="214">
        <v>2</v>
      </c>
    </row>
    <row r="45" spans="1:13" ht="48.75" customHeight="1" thickTop="1" thickBot="1" x14ac:dyDescent="0.3">
      <c r="A45" s="210" t="s">
        <v>94</v>
      </c>
      <c r="B45" s="210" t="s">
        <v>2488</v>
      </c>
      <c r="C45" s="211" t="s">
        <v>53</v>
      </c>
      <c r="D45" s="211">
        <v>3</v>
      </c>
      <c r="E45" s="211">
        <v>30</v>
      </c>
      <c r="F45" s="211">
        <v>3</v>
      </c>
      <c r="G45" s="211">
        <v>520</v>
      </c>
      <c r="H45" s="212">
        <v>150000000</v>
      </c>
      <c r="I45" s="213">
        <v>103516700</v>
      </c>
      <c r="J45" s="216" t="s">
        <v>104</v>
      </c>
      <c r="K45" s="214" t="s">
        <v>55</v>
      </c>
      <c r="L45" s="219">
        <v>1</v>
      </c>
      <c r="M45" s="214">
        <v>1</v>
      </c>
    </row>
    <row r="46" spans="1:13" ht="46.5" thickTop="1" thickBot="1" x14ac:dyDescent="0.3">
      <c r="A46" s="210" t="s">
        <v>94</v>
      </c>
      <c r="B46" s="210" t="s">
        <v>2488</v>
      </c>
      <c r="C46" s="211" t="s">
        <v>105</v>
      </c>
      <c r="D46" s="211">
        <v>3</v>
      </c>
      <c r="E46" s="211">
        <v>30</v>
      </c>
      <c r="F46" s="211">
        <v>3</v>
      </c>
      <c r="G46" s="211">
        <v>540</v>
      </c>
      <c r="H46" s="212">
        <v>80288008</v>
      </c>
      <c r="I46" s="213">
        <v>0</v>
      </c>
      <c r="J46" s="216" t="s">
        <v>106</v>
      </c>
      <c r="K46" s="214" t="s">
        <v>107</v>
      </c>
      <c r="L46" s="219">
        <v>268</v>
      </c>
      <c r="M46" s="214">
        <v>0</v>
      </c>
    </row>
    <row r="47" spans="1:13" ht="16.5" thickTop="1" thickBot="1" x14ac:dyDescent="0.3">
      <c r="A47" s="15"/>
      <c r="B47" s="226"/>
      <c r="C47" s="16"/>
      <c r="D47" s="18"/>
      <c r="E47" s="18"/>
      <c r="F47" s="18"/>
      <c r="G47" s="18"/>
      <c r="H47" s="19"/>
      <c r="I47" s="19"/>
      <c r="J47" s="17"/>
      <c r="K47" s="16"/>
      <c r="L47" s="21"/>
      <c r="M47" s="21"/>
    </row>
    <row r="48" spans="1:13" ht="30" customHeight="1" thickTop="1" thickBot="1" x14ac:dyDescent="0.3">
      <c r="A48" s="639" t="s">
        <v>0</v>
      </c>
      <c r="B48" s="639" t="s">
        <v>1</v>
      </c>
      <c r="C48" s="639" t="s">
        <v>2569</v>
      </c>
      <c r="D48" s="636" t="s">
        <v>1961</v>
      </c>
      <c r="E48" s="637"/>
      <c r="F48" s="637"/>
      <c r="G48" s="638"/>
      <c r="H48" s="636" t="s">
        <v>3</v>
      </c>
      <c r="I48" s="637"/>
      <c r="J48" s="636" t="s">
        <v>1962</v>
      </c>
      <c r="K48" s="637"/>
      <c r="L48" s="637"/>
      <c r="M48" s="638"/>
    </row>
    <row r="49" spans="1:13" ht="34.5" customHeight="1" thickTop="1" thickBot="1" x14ac:dyDescent="0.3">
      <c r="A49" s="640"/>
      <c r="B49" s="640"/>
      <c r="C49" s="640"/>
      <c r="D49" s="209" t="s">
        <v>4</v>
      </c>
      <c r="E49" s="209" t="s">
        <v>5</v>
      </c>
      <c r="F49" s="209" t="s">
        <v>6</v>
      </c>
      <c r="G49" s="209" t="s">
        <v>7</v>
      </c>
      <c r="H49" s="209" t="s">
        <v>2</v>
      </c>
      <c r="I49" s="209" t="s">
        <v>3</v>
      </c>
      <c r="J49" s="209" t="s">
        <v>8</v>
      </c>
      <c r="K49" s="209" t="s">
        <v>9</v>
      </c>
      <c r="L49" s="209" t="s">
        <v>1963</v>
      </c>
      <c r="M49" s="209" t="s">
        <v>1964</v>
      </c>
    </row>
    <row r="50" spans="1:13" ht="46.5" thickTop="1" thickBot="1" x14ac:dyDescent="0.3">
      <c r="A50" s="210" t="s">
        <v>2489</v>
      </c>
      <c r="B50" s="210" t="s">
        <v>2488</v>
      </c>
      <c r="C50" s="211" t="s">
        <v>18</v>
      </c>
      <c r="D50" s="211">
        <v>3</v>
      </c>
      <c r="E50" s="211">
        <v>30</v>
      </c>
      <c r="F50" s="211">
        <v>3</v>
      </c>
      <c r="G50" s="211">
        <v>848</v>
      </c>
      <c r="H50" s="212">
        <v>213610080</v>
      </c>
      <c r="I50" s="213">
        <v>140800400</v>
      </c>
      <c r="J50" s="216" t="s">
        <v>109</v>
      </c>
      <c r="K50" s="214" t="s">
        <v>20</v>
      </c>
      <c r="L50" s="219">
        <v>493</v>
      </c>
      <c r="M50" s="214">
        <v>325</v>
      </c>
    </row>
    <row r="51" spans="1:13" ht="46.5" thickTop="1" thickBot="1" x14ac:dyDescent="0.3">
      <c r="A51" s="210" t="s">
        <v>2489</v>
      </c>
      <c r="B51" s="210" t="s">
        <v>2488</v>
      </c>
      <c r="C51" s="211" t="s">
        <v>913</v>
      </c>
      <c r="D51" s="211">
        <v>3</v>
      </c>
      <c r="E51" s="211">
        <v>30</v>
      </c>
      <c r="F51" s="211">
        <v>3</v>
      </c>
      <c r="G51" s="211">
        <v>520</v>
      </c>
      <c r="H51" s="212">
        <v>173014611</v>
      </c>
      <c r="I51" s="213">
        <v>0</v>
      </c>
      <c r="J51" s="216" t="s">
        <v>110</v>
      </c>
      <c r="K51" s="214" t="s">
        <v>14</v>
      </c>
      <c r="L51" s="219">
        <v>1</v>
      </c>
      <c r="M51" s="214">
        <v>0</v>
      </c>
    </row>
    <row r="52" spans="1:13" ht="46.5" thickTop="1" thickBot="1" x14ac:dyDescent="0.3">
      <c r="A52" s="210" t="s">
        <v>2489</v>
      </c>
      <c r="B52" s="210" t="s">
        <v>2488</v>
      </c>
      <c r="C52" s="211" t="s">
        <v>53</v>
      </c>
      <c r="D52" s="211">
        <v>3</v>
      </c>
      <c r="E52" s="211">
        <v>30</v>
      </c>
      <c r="F52" s="211">
        <v>3</v>
      </c>
      <c r="G52" s="211">
        <v>520</v>
      </c>
      <c r="H52" s="212">
        <v>271392536</v>
      </c>
      <c r="I52" s="213">
        <v>0</v>
      </c>
      <c r="J52" s="216" t="s">
        <v>111</v>
      </c>
      <c r="K52" s="214" t="s">
        <v>55</v>
      </c>
      <c r="L52" s="219">
        <v>2</v>
      </c>
      <c r="M52" s="214">
        <v>0</v>
      </c>
    </row>
    <row r="53" spans="1:13" ht="36.75" customHeight="1" thickTop="1" thickBot="1" x14ac:dyDescent="0.3">
      <c r="A53" s="210" t="s">
        <v>2489</v>
      </c>
      <c r="B53" s="210" t="s">
        <v>2488</v>
      </c>
      <c r="C53" s="211" t="s">
        <v>105</v>
      </c>
      <c r="D53" s="211">
        <v>3</v>
      </c>
      <c r="E53" s="211">
        <v>30</v>
      </c>
      <c r="F53" s="211">
        <v>3</v>
      </c>
      <c r="G53" s="211">
        <v>540</v>
      </c>
      <c r="H53" s="212">
        <v>55183039</v>
      </c>
      <c r="I53" s="213">
        <v>0</v>
      </c>
      <c r="J53" s="216" t="s">
        <v>112</v>
      </c>
      <c r="K53" s="214" t="s">
        <v>17</v>
      </c>
      <c r="L53" s="219">
        <v>10</v>
      </c>
      <c r="M53" s="214">
        <v>0</v>
      </c>
    </row>
    <row r="54" spans="1:13" ht="16.5" thickTop="1" thickBot="1" x14ac:dyDescent="0.3">
      <c r="A54" s="23"/>
      <c r="B54" s="23"/>
      <c r="C54" s="24"/>
      <c r="D54" s="25"/>
      <c r="E54" s="25"/>
      <c r="F54" s="25"/>
      <c r="G54" s="25"/>
      <c r="H54" s="26"/>
      <c r="I54" s="26"/>
      <c r="J54" s="27"/>
      <c r="K54" s="24"/>
      <c r="L54" s="29"/>
      <c r="M54" s="29"/>
    </row>
    <row r="55" spans="1:13" ht="30.75" customHeight="1" thickTop="1" thickBot="1" x14ac:dyDescent="0.3">
      <c r="A55" s="639" t="s">
        <v>0</v>
      </c>
      <c r="B55" s="639" t="s">
        <v>1</v>
      </c>
      <c r="C55" s="639" t="s">
        <v>2569</v>
      </c>
      <c r="D55" s="636" t="s">
        <v>1961</v>
      </c>
      <c r="E55" s="637"/>
      <c r="F55" s="637"/>
      <c r="G55" s="638"/>
      <c r="H55" s="636" t="s">
        <v>3</v>
      </c>
      <c r="I55" s="637"/>
      <c r="J55" s="636" t="s">
        <v>1962</v>
      </c>
      <c r="K55" s="637"/>
      <c r="L55" s="637"/>
      <c r="M55" s="638"/>
    </row>
    <row r="56" spans="1:13" ht="34.5" customHeight="1" thickTop="1" thickBot="1" x14ac:dyDescent="0.3">
      <c r="A56" s="640"/>
      <c r="B56" s="640"/>
      <c r="C56" s="640"/>
      <c r="D56" s="209" t="s">
        <v>4</v>
      </c>
      <c r="E56" s="209" t="s">
        <v>5</v>
      </c>
      <c r="F56" s="209" t="s">
        <v>6</v>
      </c>
      <c r="G56" s="209" t="s">
        <v>7</v>
      </c>
      <c r="H56" s="209" t="s">
        <v>2</v>
      </c>
      <c r="I56" s="209" t="s">
        <v>3</v>
      </c>
      <c r="J56" s="209" t="s">
        <v>8</v>
      </c>
      <c r="K56" s="209" t="s">
        <v>9</v>
      </c>
      <c r="L56" s="209" t="s">
        <v>1963</v>
      </c>
      <c r="M56" s="209" t="s">
        <v>1964</v>
      </c>
    </row>
    <row r="57" spans="1:13" ht="48" customHeight="1" thickTop="1" thickBot="1" x14ac:dyDescent="0.3">
      <c r="A57" s="210" t="s">
        <v>2490</v>
      </c>
      <c r="B57" s="210" t="s">
        <v>2488</v>
      </c>
      <c r="C57" s="211" t="s">
        <v>18</v>
      </c>
      <c r="D57" s="211">
        <v>2</v>
      </c>
      <c r="E57" s="211">
        <v>30</v>
      </c>
      <c r="F57" s="211">
        <v>3</v>
      </c>
      <c r="G57" s="211">
        <v>848</v>
      </c>
      <c r="H57" s="212">
        <v>359829852</v>
      </c>
      <c r="I57" s="213">
        <v>145095000</v>
      </c>
      <c r="J57" s="216" t="s">
        <v>113</v>
      </c>
      <c r="K57" s="214" t="s">
        <v>114</v>
      </c>
      <c r="L57" s="219">
        <v>600</v>
      </c>
      <c r="M57" s="214">
        <v>290</v>
      </c>
    </row>
    <row r="58" spans="1:13" ht="48" customHeight="1" thickTop="1" thickBot="1" x14ac:dyDescent="0.3">
      <c r="A58" s="210" t="s">
        <v>2490</v>
      </c>
      <c r="B58" s="210" t="s">
        <v>2488</v>
      </c>
      <c r="C58" s="211" t="s">
        <v>53</v>
      </c>
      <c r="D58" s="211">
        <v>2</v>
      </c>
      <c r="E58" s="211">
        <v>30</v>
      </c>
      <c r="F58" s="211">
        <v>3</v>
      </c>
      <c r="G58" s="211">
        <v>520</v>
      </c>
      <c r="H58" s="212">
        <v>839602988</v>
      </c>
      <c r="I58" s="213">
        <v>336190425</v>
      </c>
      <c r="J58" s="216" t="s">
        <v>115</v>
      </c>
      <c r="K58" s="214" t="s">
        <v>55</v>
      </c>
      <c r="L58" s="219">
        <v>10</v>
      </c>
      <c r="M58" s="214">
        <v>5</v>
      </c>
    </row>
    <row r="59" spans="1:13" ht="15" customHeight="1" thickTop="1" thickBot="1" x14ac:dyDescent="0.3">
      <c r="A59" s="31"/>
      <c r="B59" s="13"/>
      <c r="C59" s="22"/>
      <c r="D59" s="18"/>
      <c r="E59" s="21"/>
      <c r="F59" s="21"/>
      <c r="G59" s="18"/>
      <c r="H59" s="32"/>
      <c r="I59" s="19"/>
      <c r="J59" s="17"/>
      <c r="K59" s="16"/>
      <c r="L59" s="21"/>
      <c r="M59" s="21"/>
    </row>
    <row r="60" spans="1:13" ht="30" customHeight="1" thickTop="1" thickBot="1" x14ac:dyDescent="0.3">
      <c r="A60" s="639" t="s">
        <v>0</v>
      </c>
      <c r="B60" s="639" t="s">
        <v>1</v>
      </c>
      <c r="C60" s="639" t="s">
        <v>2569</v>
      </c>
      <c r="D60" s="636" t="s">
        <v>1961</v>
      </c>
      <c r="E60" s="637"/>
      <c r="F60" s="637"/>
      <c r="G60" s="638"/>
      <c r="H60" s="636" t="s">
        <v>3</v>
      </c>
      <c r="I60" s="637"/>
      <c r="J60" s="636" t="s">
        <v>1962</v>
      </c>
      <c r="K60" s="637"/>
      <c r="L60" s="637"/>
      <c r="M60" s="638"/>
    </row>
    <row r="61" spans="1:13" ht="34.5" customHeight="1" thickTop="1" thickBot="1" x14ac:dyDescent="0.3">
      <c r="A61" s="640"/>
      <c r="B61" s="640"/>
      <c r="C61" s="640"/>
      <c r="D61" s="209" t="s">
        <v>4</v>
      </c>
      <c r="E61" s="209" t="s">
        <v>5</v>
      </c>
      <c r="F61" s="209" t="s">
        <v>6</v>
      </c>
      <c r="G61" s="209" t="s">
        <v>7</v>
      </c>
      <c r="H61" s="209" t="s">
        <v>2</v>
      </c>
      <c r="I61" s="209" t="s">
        <v>3</v>
      </c>
      <c r="J61" s="209" t="s">
        <v>8</v>
      </c>
      <c r="K61" s="209" t="s">
        <v>9</v>
      </c>
      <c r="L61" s="209" t="s">
        <v>1963</v>
      </c>
      <c r="M61" s="209" t="s">
        <v>1964</v>
      </c>
    </row>
    <row r="62" spans="1:13" ht="51" customHeight="1" thickTop="1" thickBot="1" x14ac:dyDescent="0.3">
      <c r="A62" s="211" t="s">
        <v>117</v>
      </c>
      <c r="B62" s="210" t="s">
        <v>2488</v>
      </c>
      <c r="C62" s="211" t="s">
        <v>18</v>
      </c>
      <c r="D62" s="649">
        <v>2</v>
      </c>
      <c r="E62" s="649">
        <v>30</v>
      </c>
      <c r="F62" s="649">
        <v>3</v>
      </c>
      <c r="G62" s="649">
        <v>848</v>
      </c>
      <c r="H62" s="641">
        <f>508692583-80000000+80000000</f>
        <v>508692583</v>
      </c>
      <c r="I62" s="643">
        <f>365400000+71050000</f>
        <v>436450000</v>
      </c>
      <c r="J62" s="216" t="s">
        <v>119</v>
      </c>
      <c r="K62" s="214" t="s">
        <v>20</v>
      </c>
      <c r="L62" s="219">
        <v>200</v>
      </c>
      <c r="M62" s="214">
        <v>175</v>
      </c>
    </row>
    <row r="63" spans="1:13" ht="33.75" customHeight="1" thickTop="1" thickBot="1" x14ac:dyDescent="0.3">
      <c r="A63" s="211" t="s">
        <v>117</v>
      </c>
      <c r="B63" s="210" t="s">
        <v>2488</v>
      </c>
      <c r="C63" s="211" t="s">
        <v>18</v>
      </c>
      <c r="D63" s="650"/>
      <c r="E63" s="650"/>
      <c r="F63" s="650"/>
      <c r="G63" s="650"/>
      <c r="H63" s="642"/>
      <c r="I63" s="644"/>
      <c r="J63" s="216" t="s">
        <v>120</v>
      </c>
      <c r="K63" s="214" t="s">
        <v>75</v>
      </c>
      <c r="L63" s="219">
        <f>35700+11430</f>
        <v>47130</v>
      </c>
      <c r="M63" s="214">
        <f>30450+9975</f>
        <v>40425</v>
      </c>
    </row>
    <row r="64" spans="1:13" ht="46.5" thickTop="1" thickBot="1" x14ac:dyDescent="0.3">
      <c r="A64" s="211" t="s">
        <v>117</v>
      </c>
      <c r="B64" s="210" t="s">
        <v>2488</v>
      </c>
      <c r="C64" s="211" t="s">
        <v>53</v>
      </c>
      <c r="D64" s="211">
        <v>3</v>
      </c>
      <c r="E64" s="211">
        <v>30</v>
      </c>
      <c r="F64" s="211">
        <v>3</v>
      </c>
      <c r="G64" s="211">
        <v>520</v>
      </c>
      <c r="H64" s="212">
        <v>835000000</v>
      </c>
      <c r="I64" s="213">
        <v>835000000</v>
      </c>
      <c r="J64" s="216" t="s">
        <v>121</v>
      </c>
      <c r="K64" s="214" t="s">
        <v>13</v>
      </c>
      <c r="L64" s="219">
        <v>1</v>
      </c>
      <c r="M64" s="214">
        <v>1</v>
      </c>
    </row>
    <row r="65" spans="1:13" ht="51" customHeight="1" thickTop="1" thickBot="1" x14ac:dyDescent="0.3">
      <c r="A65" s="211" t="s">
        <v>117</v>
      </c>
      <c r="B65" s="210" t="s">
        <v>2488</v>
      </c>
      <c r="C65" s="211" t="s">
        <v>913</v>
      </c>
      <c r="D65" s="211">
        <v>3</v>
      </c>
      <c r="E65" s="211">
        <v>30</v>
      </c>
      <c r="F65" s="211">
        <v>3</v>
      </c>
      <c r="G65" s="211">
        <v>520</v>
      </c>
      <c r="H65" s="212">
        <v>213949360</v>
      </c>
      <c r="I65" s="213">
        <v>213500000</v>
      </c>
      <c r="J65" s="216" t="s">
        <v>122</v>
      </c>
      <c r="K65" s="214" t="s">
        <v>13</v>
      </c>
      <c r="L65" s="219">
        <v>1</v>
      </c>
      <c r="M65" s="214">
        <v>1</v>
      </c>
    </row>
    <row r="66" spans="1:13" ht="96.75" customHeight="1" thickTop="1" thickBot="1" x14ac:dyDescent="0.3">
      <c r="A66" s="211" t="s">
        <v>117</v>
      </c>
      <c r="B66" s="210" t="s">
        <v>2488</v>
      </c>
      <c r="C66" s="211" t="s">
        <v>53</v>
      </c>
      <c r="D66" s="211">
        <v>3</v>
      </c>
      <c r="E66" s="211">
        <v>30</v>
      </c>
      <c r="F66" s="211">
        <v>3</v>
      </c>
      <c r="G66" s="211">
        <v>520</v>
      </c>
      <c r="H66" s="212">
        <v>138000000</v>
      </c>
      <c r="I66" s="213">
        <v>138000000</v>
      </c>
      <c r="J66" s="216" t="s">
        <v>1969</v>
      </c>
      <c r="K66" s="214" t="s">
        <v>13</v>
      </c>
      <c r="L66" s="219">
        <v>2</v>
      </c>
      <c r="M66" s="214">
        <v>2</v>
      </c>
    </row>
    <row r="67" spans="1:13" ht="16.5" thickTop="1" thickBot="1" x14ac:dyDescent="0.3">
      <c r="A67" s="2"/>
      <c r="B67" s="2"/>
      <c r="C67" s="5"/>
      <c r="D67" s="7"/>
      <c r="E67" s="7"/>
      <c r="F67" s="7"/>
      <c r="G67" s="7"/>
      <c r="H67" s="10"/>
      <c r="I67" s="10"/>
      <c r="J67" s="6"/>
      <c r="K67" s="12"/>
      <c r="L67" s="7"/>
      <c r="M67" s="7"/>
    </row>
    <row r="68" spans="1:13" ht="30.75" customHeight="1" thickTop="1" thickBot="1" x14ac:dyDescent="0.3">
      <c r="A68" s="639" t="s">
        <v>0</v>
      </c>
      <c r="B68" s="639" t="s">
        <v>1</v>
      </c>
      <c r="C68" s="639" t="s">
        <v>2569</v>
      </c>
      <c r="D68" s="636" t="s">
        <v>1961</v>
      </c>
      <c r="E68" s="637"/>
      <c r="F68" s="637"/>
      <c r="G68" s="638"/>
      <c r="H68" s="636" t="s">
        <v>3</v>
      </c>
      <c r="I68" s="637"/>
      <c r="J68" s="636" t="s">
        <v>1962</v>
      </c>
      <c r="K68" s="637"/>
      <c r="L68" s="637"/>
      <c r="M68" s="638"/>
    </row>
    <row r="69" spans="1:13" ht="34.5" customHeight="1" thickTop="1" thickBot="1" x14ac:dyDescent="0.3">
      <c r="A69" s="640"/>
      <c r="B69" s="640"/>
      <c r="C69" s="640"/>
      <c r="D69" s="209" t="s">
        <v>4</v>
      </c>
      <c r="E69" s="209" t="s">
        <v>5</v>
      </c>
      <c r="F69" s="209" t="s">
        <v>6</v>
      </c>
      <c r="G69" s="209" t="s">
        <v>7</v>
      </c>
      <c r="H69" s="209" t="s">
        <v>2</v>
      </c>
      <c r="I69" s="209" t="s">
        <v>3</v>
      </c>
      <c r="J69" s="209" t="s">
        <v>8</v>
      </c>
      <c r="K69" s="209" t="s">
        <v>9</v>
      </c>
      <c r="L69" s="209" t="s">
        <v>1963</v>
      </c>
      <c r="M69" s="209" t="s">
        <v>1964</v>
      </c>
    </row>
    <row r="70" spans="1:13" ht="51" customHeight="1" thickTop="1" thickBot="1" x14ac:dyDescent="0.3">
      <c r="A70" s="210" t="s">
        <v>2491</v>
      </c>
      <c r="B70" s="210" t="s">
        <v>116</v>
      </c>
      <c r="C70" s="211" t="s">
        <v>18</v>
      </c>
      <c r="D70" s="211">
        <v>3</v>
      </c>
      <c r="E70" s="211">
        <v>30</v>
      </c>
      <c r="F70" s="211">
        <v>3</v>
      </c>
      <c r="G70" s="211">
        <v>848</v>
      </c>
      <c r="H70" s="212">
        <v>352534884</v>
      </c>
      <c r="I70" s="213">
        <v>149413000</v>
      </c>
      <c r="J70" s="216" t="s">
        <v>125</v>
      </c>
      <c r="K70" s="214" t="s">
        <v>20</v>
      </c>
      <c r="L70" s="219">
        <v>405</v>
      </c>
      <c r="M70" s="214">
        <v>172</v>
      </c>
    </row>
    <row r="71" spans="1:13" ht="49.5" customHeight="1" thickTop="1" thickBot="1" x14ac:dyDescent="0.3">
      <c r="A71" s="210" t="s">
        <v>2491</v>
      </c>
      <c r="B71" s="210" t="s">
        <v>116</v>
      </c>
      <c r="C71" s="211" t="s">
        <v>53</v>
      </c>
      <c r="D71" s="211">
        <v>3</v>
      </c>
      <c r="E71" s="211">
        <v>30</v>
      </c>
      <c r="F71" s="211">
        <v>3</v>
      </c>
      <c r="G71" s="211">
        <v>520</v>
      </c>
      <c r="H71" s="212">
        <v>834626387</v>
      </c>
      <c r="I71" s="213">
        <v>741307049</v>
      </c>
      <c r="J71" s="216" t="s">
        <v>126</v>
      </c>
      <c r="K71" s="214" t="s">
        <v>55</v>
      </c>
      <c r="L71" s="219">
        <v>10</v>
      </c>
      <c r="M71" s="214">
        <v>9</v>
      </c>
    </row>
    <row r="72" spans="1:13" ht="69" thickTop="1" thickBot="1" x14ac:dyDescent="0.3">
      <c r="A72" s="210" t="s">
        <v>2491</v>
      </c>
      <c r="B72" s="210" t="s">
        <v>116</v>
      </c>
      <c r="C72" s="211" t="s">
        <v>440</v>
      </c>
      <c r="D72" s="211">
        <v>3</v>
      </c>
      <c r="E72" s="211">
        <v>30</v>
      </c>
      <c r="F72" s="211">
        <v>3</v>
      </c>
      <c r="G72" s="211">
        <v>580</v>
      </c>
      <c r="H72" s="212">
        <v>50000000</v>
      </c>
      <c r="I72" s="213">
        <v>0</v>
      </c>
      <c r="J72" s="216" t="s">
        <v>127</v>
      </c>
      <c r="K72" s="214" t="s">
        <v>72</v>
      </c>
      <c r="L72" s="219">
        <v>3</v>
      </c>
      <c r="M72" s="214">
        <v>0</v>
      </c>
    </row>
    <row r="73" spans="1:13" ht="16.5" thickTop="1" thickBot="1" x14ac:dyDescent="0.3">
      <c r="A73" s="23"/>
      <c r="B73" s="23"/>
      <c r="C73" s="218"/>
      <c r="D73" s="25"/>
      <c r="E73" s="25"/>
      <c r="F73" s="25"/>
      <c r="G73" s="25"/>
      <c r="H73" s="34"/>
      <c r="I73" s="34"/>
      <c r="J73" s="27"/>
      <c r="K73" s="24"/>
      <c r="L73" s="25"/>
      <c r="M73" s="35"/>
    </row>
    <row r="74" spans="1:13" ht="30" customHeight="1" thickTop="1" thickBot="1" x14ac:dyDescent="0.3">
      <c r="A74" s="639" t="s">
        <v>0</v>
      </c>
      <c r="B74" s="639" t="s">
        <v>1</v>
      </c>
      <c r="C74" s="639" t="s">
        <v>2569</v>
      </c>
      <c r="D74" s="636" t="s">
        <v>1961</v>
      </c>
      <c r="E74" s="637"/>
      <c r="F74" s="637"/>
      <c r="G74" s="638"/>
      <c r="H74" s="636" t="s">
        <v>3</v>
      </c>
      <c r="I74" s="637"/>
      <c r="J74" s="636" t="s">
        <v>1962</v>
      </c>
      <c r="K74" s="637"/>
      <c r="L74" s="637"/>
      <c r="M74" s="638"/>
    </row>
    <row r="75" spans="1:13" ht="34.5" customHeight="1" thickTop="1" thickBot="1" x14ac:dyDescent="0.3">
      <c r="A75" s="640"/>
      <c r="B75" s="640"/>
      <c r="C75" s="640"/>
      <c r="D75" s="209" t="s">
        <v>4</v>
      </c>
      <c r="E75" s="209" t="s">
        <v>5</v>
      </c>
      <c r="F75" s="209" t="s">
        <v>6</v>
      </c>
      <c r="G75" s="209" t="s">
        <v>7</v>
      </c>
      <c r="H75" s="209" t="s">
        <v>2</v>
      </c>
      <c r="I75" s="209" t="s">
        <v>3</v>
      </c>
      <c r="J75" s="209" t="s">
        <v>8</v>
      </c>
      <c r="K75" s="209" t="s">
        <v>9</v>
      </c>
      <c r="L75" s="209" t="s">
        <v>1963</v>
      </c>
      <c r="M75" s="209" t="s">
        <v>1964</v>
      </c>
    </row>
    <row r="76" spans="1:13" ht="51" customHeight="1" thickTop="1" thickBot="1" x14ac:dyDescent="0.3">
      <c r="A76" s="211" t="s">
        <v>2492</v>
      </c>
      <c r="B76" s="210" t="s">
        <v>2493</v>
      </c>
      <c r="C76" s="649" t="s">
        <v>18</v>
      </c>
      <c r="D76" s="649">
        <v>2</v>
      </c>
      <c r="E76" s="649">
        <v>30</v>
      </c>
      <c r="F76" s="649">
        <v>3</v>
      </c>
      <c r="G76" s="649">
        <v>848</v>
      </c>
      <c r="H76" s="645">
        <v>572225939</v>
      </c>
      <c r="I76" s="647">
        <v>126160000</v>
      </c>
      <c r="J76" s="216" t="s">
        <v>129</v>
      </c>
      <c r="K76" s="214" t="s">
        <v>20</v>
      </c>
      <c r="L76" s="219">
        <v>440</v>
      </c>
      <c r="M76" s="214">
        <v>440</v>
      </c>
    </row>
    <row r="77" spans="1:13" ht="81.75" customHeight="1" thickTop="1" thickBot="1" x14ac:dyDescent="0.3">
      <c r="A77" s="627" t="s">
        <v>2492</v>
      </c>
      <c r="B77" s="210" t="s">
        <v>2493</v>
      </c>
      <c r="C77" s="650"/>
      <c r="D77" s="650"/>
      <c r="E77" s="650"/>
      <c r="F77" s="650"/>
      <c r="G77" s="650"/>
      <c r="H77" s="646"/>
      <c r="I77" s="648"/>
      <c r="J77" s="216" t="s">
        <v>2571</v>
      </c>
      <c r="K77" s="214" t="s">
        <v>75</v>
      </c>
      <c r="L77" s="219">
        <v>60234</v>
      </c>
      <c r="M77" s="214">
        <v>13280</v>
      </c>
    </row>
    <row r="78" spans="1:13" ht="46.5" thickTop="1" thickBot="1" x14ac:dyDescent="0.3">
      <c r="A78" s="627" t="s">
        <v>2492</v>
      </c>
      <c r="B78" s="210" t="s">
        <v>2493</v>
      </c>
      <c r="C78" s="211" t="s">
        <v>53</v>
      </c>
      <c r="D78" s="211">
        <v>2</v>
      </c>
      <c r="E78" s="211">
        <v>30</v>
      </c>
      <c r="F78" s="211">
        <v>3</v>
      </c>
      <c r="G78" s="211">
        <v>520</v>
      </c>
      <c r="H78" s="212">
        <v>594881771</v>
      </c>
      <c r="I78" s="213">
        <v>309300000</v>
      </c>
      <c r="J78" s="216" t="s">
        <v>130</v>
      </c>
      <c r="K78" s="214" t="s">
        <v>55</v>
      </c>
      <c r="L78" s="219">
        <v>7</v>
      </c>
      <c r="M78" s="214">
        <v>4</v>
      </c>
    </row>
    <row r="79" spans="1:13" ht="76.5" customHeight="1" thickTop="1" thickBot="1" x14ac:dyDescent="0.3">
      <c r="A79" s="627" t="s">
        <v>2492</v>
      </c>
      <c r="B79" s="210" t="s">
        <v>2493</v>
      </c>
      <c r="C79" s="211" t="s">
        <v>53</v>
      </c>
      <c r="D79" s="211">
        <v>2</v>
      </c>
      <c r="E79" s="211">
        <v>30</v>
      </c>
      <c r="F79" s="211">
        <v>3</v>
      </c>
      <c r="G79" s="211">
        <v>520</v>
      </c>
      <c r="H79" s="212">
        <v>740713664</v>
      </c>
      <c r="I79" s="213">
        <v>29000000</v>
      </c>
      <c r="J79" s="216" t="s">
        <v>131</v>
      </c>
      <c r="K79" s="214" t="s">
        <v>13</v>
      </c>
      <c r="L79" s="219">
        <v>7</v>
      </c>
      <c r="M79" s="214">
        <v>1</v>
      </c>
    </row>
    <row r="80" spans="1:13" ht="41.25" customHeight="1" thickTop="1" thickBot="1" x14ac:dyDescent="0.3">
      <c r="A80" s="627" t="s">
        <v>2492</v>
      </c>
      <c r="B80" s="210" t="s">
        <v>2493</v>
      </c>
      <c r="C80" s="211" t="s">
        <v>2032</v>
      </c>
      <c r="D80" s="211">
        <v>3</v>
      </c>
      <c r="E80" s="211">
        <v>30</v>
      </c>
      <c r="F80" s="211">
        <v>3</v>
      </c>
      <c r="G80" s="211">
        <v>540</v>
      </c>
      <c r="H80" s="212">
        <v>30000000</v>
      </c>
      <c r="I80" s="213">
        <v>0</v>
      </c>
      <c r="J80" s="216" t="s">
        <v>132</v>
      </c>
      <c r="K80" s="214" t="s">
        <v>17</v>
      </c>
      <c r="L80" s="219">
        <v>10</v>
      </c>
      <c r="M80" s="214">
        <v>0</v>
      </c>
    </row>
    <row r="81" spans="1:13" ht="16.5" thickTop="1" thickBot="1" x14ac:dyDescent="0.3">
      <c r="A81" s="15"/>
      <c r="B81" s="226"/>
      <c r="C81" s="228"/>
      <c r="D81" s="229"/>
      <c r="E81" s="230"/>
      <c r="F81" s="230"/>
      <c r="G81" s="229"/>
      <c r="H81" s="231"/>
      <c r="I81" s="232"/>
      <c r="J81" s="233"/>
      <c r="K81" s="234"/>
      <c r="L81" s="230"/>
      <c r="M81" s="227"/>
    </row>
    <row r="82" spans="1:13" ht="30" customHeight="1" thickTop="1" thickBot="1" x14ac:dyDescent="0.3">
      <c r="A82" s="639" t="s">
        <v>0</v>
      </c>
      <c r="B82" s="639" t="s">
        <v>1</v>
      </c>
      <c r="C82" s="639" t="s">
        <v>2569</v>
      </c>
      <c r="D82" s="636" t="s">
        <v>1961</v>
      </c>
      <c r="E82" s="637"/>
      <c r="F82" s="637"/>
      <c r="G82" s="638"/>
      <c r="H82" s="636" t="s">
        <v>3</v>
      </c>
      <c r="I82" s="637"/>
      <c r="J82" s="636" t="s">
        <v>1962</v>
      </c>
      <c r="K82" s="637"/>
      <c r="L82" s="637"/>
      <c r="M82" s="638"/>
    </row>
    <row r="83" spans="1:13" ht="34.5" customHeight="1" thickTop="1" thickBot="1" x14ac:dyDescent="0.3">
      <c r="A83" s="640"/>
      <c r="B83" s="640"/>
      <c r="C83" s="640"/>
      <c r="D83" s="209" t="s">
        <v>4</v>
      </c>
      <c r="E83" s="209" t="s">
        <v>5</v>
      </c>
      <c r="F83" s="209" t="s">
        <v>6</v>
      </c>
      <c r="G83" s="209" t="s">
        <v>7</v>
      </c>
      <c r="H83" s="209" t="s">
        <v>2</v>
      </c>
      <c r="I83" s="209" t="s">
        <v>3</v>
      </c>
      <c r="J83" s="209" t="s">
        <v>8</v>
      </c>
      <c r="K83" s="209" t="s">
        <v>9</v>
      </c>
      <c r="L83" s="209" t="s">
        <v>1963</v>
      </c>
      <c r="M83" s="209" t="s">
        <v>1964</v>
      </c>
    </row>
    <row r="84" spans="1:13" ht="46.5" thickTop="1" thickBot="1" x14ac:dyDescent="0.3">
      <c r="A84" s="210" t="s">
        <v>133</v>
      </c>
      <c r="B84" s="210" t="s">
        <v>2493</v>
      </c>
      <c r="C84" s="211" t="s">
        <v>18</v>
      </c>
      <c r="D84" s="211">
        <v>3</v>
      </c>
      <c r="E84" s="211">
        <v>30</v>
      </c>
      <c r="F84" s="211">
        <v>3</v>
      </c>
      <c r="G84" s="211">
        <v>848</v>
      </c>
      <c r="H84" s="212">
        <v>411635177</v>
      </c>
      <c r="I84" s="213">
        <v>315040000</v>
      </c>
      <c r="J84" s="216" t="s">
        <v>134</v>
      </c>
      <c r="K84" s="214" t="s">
        <v>20</v>
      </c>
      <c r="L84" s="219">
        <v>835</v>
      </c>
      <c r="M84" s="214">
        <v>835</v>
      </c>
    </row>
    <row r="85" spans="1:13" ht="47.25" customHeight="1" thickTop="1" thickBot="1" x14ac:dyDescent="0.3">
      <c r="A85" s="210" t="s">
        <v>133</v>
      </c>
      <c r="B85" s="210" t="s">
        <v>2493</v>
      </c>
      <c r="C85" s="211" t="s">
        <v>53</v>
      </c>
      <c r="D85" s="211">
        <v>3</v>
      </c>
      <c r="E85" s="211">
        <v>30</v>
      </c>
      <c r="F85" s="211">
        <v>3</v>
      </c>
      <c r="G85" s="211">
        <v>520</v>
      </c>
      <c r="H85" s="212">
        <v>184989358</v>
      </c>
      <c r="I85" s="213">
        <f>60978187+28741589</f>
        <v>89719776</v>
      </c>
      <c r="J85" s="216" t="s">
        <v>135</v>
      </c>
      <c r="K85" s="214" t="s">
        <v>13</v>
      </c>
      <c r="L85" s="219">
        <v>1</v>
      </c>
      <c r="M85" s="214">
        <v>0</v>
      </c>
    </row>
    <row r="86" spans="1:13" ht="47.25" customHeight="1" thickTop="1" thickBot="1" x14ac:dyDescent="0.3">
      <c r="A86" s="210" t="s">
        <v>133</v>
      </c>
      <c r="B86" s="210" t="s">
        <v>2493</v>
      </c>
      <c r="C86" s="211" t="s">
        <v>53</v>
      </c>
      <c r="D86" s="211">
        <v>3</v>
      </c>
      <c r="E86" s="211">
        <v>30</v>
      </c>
      <c r="F86" s="211">
        <v>3</v>
      </c>
      <c r="G86" s="211">
        <v>520</v>
      </c>
      <c r="H86" s="212">
        <v>11999526</v>
      </c>
      <c r="I86" s="213">
        <v>11999526</v>
      </c>
      <c r="J86" s="216" t="s">
        <v>136</v>
      </c>
      <c r="K86" s="214" t="s">
        <v>55</v>
      </c>
      <c r="L86" s="219">
        <v>1</v>
      </c>
      <c r="M86" s="214">
        <v>1</v>
      </c>
    </row>
    <row r="87" spans="1:13" ht="47.25" customHeight="1" thickTop="1" thickBot="1" x14ac:dyDescent="0.3">
      <c r="A87" s="210" t="s">
        <v>133</v>
      </c>
      <c r="B87" s="210" t="s">
        <v>2493</v>
      </c>
      <c r="C87" s="211" t="s">
        <v>53</v>
      </c>
      <c r="D87" s="211">
        <v>3</v>
      </c>
      <c r="E87" s="211">
        <v>30</v>
      </c>
      <c r="F87" s="211">
        <v>3</v>
      </c>
      <c r="G87" s="211">
        <v>520</v>
      </c>
      <c r="H87" s="212">
        <f>153305250-5139353</f>
        <v>148165897</v>
      </c>
      <c r="I87" s="213">
        <v>62548238</v>
      </c>
      <c r="J87" s="216" t="s">
        <v>137</v>
      </c>
      <c r="K87" s="214" t="s">
        <v>81</v>
      </c>
      <c r="L87" s="219">
        <v>1</v>
      </c>
      <c r="M87" s="214">
        <v>0</v>
      </c>
    </row>
    <row r="88" spans="1:13" ht="47.25" customHeight="1" thickTop="1" thickBot="1" x14ac:dyDescent="0.3">
      <c r="A88" s="210" t="s">
        <v>133</v>
      </c>
      <c r="B88" s="210" t="s">
        <v>2493</v>
      </c>
      <c r="C88" s="211" t="s">
        <v>53</v>
      </c>
      <c r="D88" s="211">
        <v>3</v>
      </c>
      <c r="E88" s="211">
        <v>30</v>
      </c>
      <c r="F88" s="211">
        <v>3</v>
      </c>
      <c r="G88" s="211">
        <v>520</v>
      </c>
      <c r="H88" s="212">
        <v>70860000</v>
      </c>
      <c r="I88" s="213">
        <v>0</v>
      </c>
      <c r="J88" s="216" t="s">
        <v>138</v>
      </c>
      <c r="K88" s="214" t="s">
        <v>55</v>
      </c>
      <c r="L88" s="219">
        <v>3</v>
      </c>
      <c r="M88" s="214">
        <v>0</v>
      </c>
    </row>
    <row r="89" spans="1:13" ht="39" customHeight="1" thickTop="1" thickBot="1" x14ac:dyDescent="0.3">
      <c r="A89" s="210" t="s">
        <v>133</v>
      </c>
      <c r="B89" s="210" t="s">
        <v>2493</v>
      </c>
      <c r="C89" s="211" t="s">
        <v>105</v>
      </c>
      <c r="D89" s="211">
        <v>3</v>
      </c>
      <c r="E89" s="211">
        <v>30</v>
      </c>
      <c r="F89" s="211">
        <v>3</v>
      </c>
      <c r="G89" s="211">
        <v>540</v>
      </c>
      <c r="H89" s="212">
        <v>55000000</v>
      </c>
      <c r="I89" s="213">
        <v>0</v>
      </c>
      <c r="J89" s="216" t="s">
        <v>139</v>
      </c>
      <c r="K89" s="214" t="s">
        <v>140</v>
      </c>
      <c r="L89" s="219">
        <f>+H89/275000</f>
        <v>200</v>
      </c>
      <c r="M89" s="214">
        <f>+I89/275000</f>
        <v>0</v>
      </c>
    </row>
    <row r="90" spans="1:13" ht="16.5" thickTop="1" thickBot="1" x14ac:dyDescent="0.3">
      <c r="A90" s="36"/>
      <c r="B90" s="235"/>
      <c r="C90" s="228"/>
      <c r="D90" s="226"/>
      <c r="E90" s="226"/>
      <c r="F90" s="226"/>
      <c r="G90" s="226"/>
      <c r="H90" s="232"/>
      <c r="I90" s="232"/>
      <c r="J90" s="233"/>
      <c r="K90" s="234"/>
      <c r="L90" s="230"/>
      <c r="M90" s="227"/>
    </row>
    <row r="91" spans="1:13" ht="29.25" customHeight="1" thickTop="1" thickBot="1" x14ac:dyDescent="0.3">
      <c r="A91" s="639" t="s">
        <v>0</v>
      </c>
      <c r="B91" s="639" t="s">
        <v>1</v>
      </c>
      <c r="C91" s="639" t="s">
        <v>2569</v>
      </c>
      <c r="D91" s="636" t="s">
        <v>1961</v>
      </c>
      <c r="E91" s="637"/>
      <c r="F91" s="637"/>
      <c r="G91" s="638"/>
      <c r="H91" s="636" t="s">
        <v>3</v>
      </c>
      <c r="I91" s="637"/>
      <c r="J91" s="636" t="s">
        <v>1962</v>
      </c>
      <c r="K91" s="637"/>
      <c r="L91" s="637"/>
      <c r="M91" s="638"/>
    </row>
    <row r="92" spans="1:13" ht="34.5" customHeight="1" thickTop="1" thickBot="1" x14ac:dyDescent="0.3">
      <c r="A92" s="640"/>
      <c r="B92" s="640"/>
      <c r="C92" s="640"/>
      <c r="D92" s="209" t="s">
        <v>4</v>
      </c>
      <c r="E92" s="209" t="s">
        <v>5</v>
      </c>
      <c r="F92" s="209" t="s">
        <v>6</v>
      </c>
      <c r="G92" s="209" t="s">
        <v>7</v>
      </c>
      <c r="H92" s="209" t="s">
        <v>2</v>
      </c>
      <c r="I92" s="209" t="s">
        <v>3</v>
      </c>
      <c r="J92" s="209" t="s">
        <v>8</v>
      </c>
      <c r="K92" s="209" t="s">
        <v>9</v>
      </c>
      <c r="L92" s="209" t="s">
        <v>1963</v>
      </c>
      <c r="M92" s="209" t="s">
        <v>1964</v>
      </c>
    </row>
    <row r="93" spans="1:13" ht="51" customHeight="1" thickTop="1" thickBot="1" x14ac:dyDescent="0.3">
      <c r="A93" s="210" t="s">
        <v>141</v>
      </c>
      <c r="B93" s="210" t="s">
        <v>2493</v>
      </c>
      <c r="C93" s="649" t="s">
        <v>18</v>
      </c>
      <c r="D93" s="649">
        <v>2</v>
      </c>
      <c r="E93" s="649">
        <v>30</v>
      </c>
      <c r="F93" s="649">
        <v>3</v>
      </c>
      <c r="G93" s="649">
        <v>848</v>
      </c>
      <c r="H93" s="645">
        <f>159137363+77543240</f>
        <v>236680603</v>
      </c>
      <c r="I93" s="647">
        <v>160336650</v>
      </c>
      <c r="J93" s="216" t="s">
        <v>142</v>
      </c>
      <c r="K93" s="214" t="s">
        <v>20</v>
      </c>
      <c r="L93" s="219">
        <v>380</v>
      </c>
      <c r="M93" s="214">
        <v>258</v>
      </c>
    </row>
    <row r="94" spans="1:13" ht="63.75" customHeight="1" thickTop="1" thickBot="1" x14ac:dyDescent="0.3">
      <c r="A94" s="210" t="s">
        <v>141</v>
      </c>
      <c r="B94" s="210" t="s">
        <v>2493</v>
      </c>
      <c r="C94" s="650"/>
      <c r="D94" s="650"/>
      <c r="E94" s="650"/>
      <c r="F94" s="650"/>
      <c r="G94" s="650"/>
      <c r="H94" s="646"/>
      <c r="I94" s="648"/>
      <c r="J94" s="216" t="s">
        <v>143</v>
      </c>
      <c r="K94" s="214" t="s">
        <v>75</v>
      </c>
      <c r="L94" s="219">
        <v>27000</v>
      </c>
      <c r="M94" s="214">
        <v>18360</v>
      </c>
    </row>
    <row r="95" spans="1:13" ht="46.5" thickTop="1" thickBot="1" x14ac:dyDescent="0.3">
      <c r="A95" s="210" t="s">
        <v>141</v>
      </c>
      <c r="B95" s="210" t="s">
        <v>2493</v>
      </c>
      <c r="C95" s="211" t="s">
        <v>53</v>
      </c>
      <c r="D95" s="211">
        <v>3</v>
      </c>
      <c r="E95" s="211">
        <v>30</v>
      </c>
      <c r="F95" s="211">
        <v>3</v>
      </c>
      <c r="G95" s="211">
        <v>520</v>
      </c>
      <c r="H95" s="212">
        <f>196062271-26357559</f>
        <v>169704712</v>
      </c>
      <c r="I95" s="213">
        <v>0</v>
      </c>
      <c r="J95" s="216" t="s">
        <v>144</v>
      </c>
      <c r="K95" s="214" t="s">
        <v>55</v>
      </c>
      <c r="L95" s="219">
        <v>2</v>
      </c>
      <c r="M95" s="214">
        <v>0</v>
      </c>
    </row>
    <row r="96" spans="1:13" ht="63.75" customHeight="1" thickTop="1" thickBot="1" x14ac:dyDescent="0.3">
      <c r="A96" s="210" t="s">
        <v>141</v>
      </c>
      <c r="B96" s="210" t="s">
        <v>2493</v>
      </c>
      <c r="C96" s="211" t="s">
        <v>53</v>
      </c>
      <c r="D96" s="211">
        <v>3</v>
      </c>
      <c r="E96" s="211">
        <v>30</v>
      </c>
      <c r="F96" s="211">
        <v>3</v>
      </c>
      <c r="G96" s="211">
        <v>520</v>
      </c>
      <c r="H96" s="212">
        <v>106424908</v>
      </c>
      <c r="I96" s="213">
        <v>0</v>
      </c>
      <c r="J96" s="216" t="s">
        <v>145</v>
      </c>
      <c r="K96" s="214" t="s">
        <v>71</v>
      </c>
      <c r="L96" s="219">
        <v>19</v>
      </c>
      <c r="M96" s="214">
        <v>0</v>
      </c>
    </row>
    <row r="97" spans="1:13" ht="47.25" customHeight="1" thickTop="1" thickBot="1" x14ac:dyDescent="0.3">
      <c r="A97" s="210" t="s">
        <v>141</v>
      </c>
      <c r="B97" s="210" t="s">
        <v>2493</v>
      </c>
      <c r="C97" s="211" t="s">
        <v>53</v>
      </c>
      <c r="D97" s="211">
        <v>3</v>
      </c>
      <c r="E97" s="211">
        <v>30</v>
      </c>
      <c r="F97" s="211">
        <v>3</v>
      </c>
      <c r="G97" s="211">
        <v>520</v>
      </c>
      <c r="H97" s="212">
        <v>103062560</v>
      </c>
      <c r="I97" s="213">
        <v>103062560</v>
      </c>
      <c r="J97" s="216" t="s">
        <v>146</v>
      </c>
      <c r="K97" s="214" t="s">
        <v>28</v>
      </c>
      <c r="L97" s="219">
        <v>1</v>
      </c>
      <c r="M97" s="214">
        <v>1</v>
      </c>
    </row>
    <row r="98" spans="1:13" ht="50.25" customHeight="1" thickTop="1" thickBot="1" x14ac:dyDescent="0.3">
      <c r="A98" s="210" t="s">
        <v>141</v>
      </c>
      <c r="B98" s="210" t="s">
        <v>2493</v>
      </c>
      <c r="C98" s="211" t="s">
        <v>53</v>
      </c>
      <c r="D98" s="211">
        <v>3</v>
      </c>
      <c r="E98" s="211">
        <v>30</v>
      </c>
      <c r="F98" s="211">
        <v>3</v>
      </c>
      <c r="G98" s="211">
        <v>520</v>
      </c>
      <c r="H98" s="212">
        <v>103062560</v>
      </c>
      <c r="I98" s="213">
        <v>103062560</v>
      </c>
      <c r="J98" s="216" t="s">
        <v>147</v>
      </c>
      <c r="K98" s="214" t="s">
        <v>28</v>
      </c>
      <c r="L98" s="219">
        <v>1</v>
      </c>
      <c r="M98" s="214">
        <v>1</v>
      </c>
    </row>
    <row r="99" spans="1:13" ht="51" customHeight="1" thickTop="1" thickBot="1" x14ac:dyDescent="0.3">
      <c r="A99" s="210" t="s">
        <v>141</v>
      </c>
      <c r="B99" s="210" t="s">
        <v>2493</v>
      </c>
      <c r="C99" s="420" t="s">
        <v>105</v>
      </c>
      <c r="D99" s="211">
        <v>3</v>
      </c>
      <c r="E99" s="211">
        <v>30</v>
      </c>
      <c r="F99" s="211">
        <v>3</v>
      </c>
      <c r="G99" s="211">
        <v>540</v>
      </c>
      <c r="H99" s="212">
        <v>70000000</v>
      </c>
      <c r="I99" s="213">
        <v>0</v>
      </c>
      <c r="J99" s="216" t="s">
        <v>148</v>
      </c>
      <c r="K99" s="214" t="s">
        <v>17</v>
      </c>
      <c r="L99" s="219">
        <v>410</v>
      </c>
      <c r="M99" s="214">
        <v>0</v>
      </c>
    </row>
    <row r="100" spans="1:13" ht="15.75" thickTop="1" x14ac:dyDescent="0.25"/>
  </sheetData>
  <mergeCells count="92">
    <mergeCell ref="B20:B21"/>
    <mergeCell ref="C20:C21"/>
    <mergeCell ref="D20:G20"/>
    <mergeCell ref="B37:B38"/>
    <mergeCell ref="C37:C38"/>
    <mergeCell ref="D37:G37"/>
    <mergeCell ref="B28:B29"/>
    <mergeCell ref="C28:C29"/>
    <mergeCell ref="D22:D23"/>
    <mergeCell ref="E22:E23"/>
    <mergeCell ref="F22:F23"/>
    <mergeCell ref="G22:G23"/>
    <mergeCell ref="D28:G28"/>
    <mergeCell ref="A20:A21"/>
    <mergeCell ref="A60:A61"/>
    <mergeCell ref="A55:A56"/>
    <mergeCell ref="A48:A49"/>
    <mergeCell ref="A37:A38"/>
    <mergeCell ref="A28:A29"/>
    <mergeCell ref="A91:A92"/>
    <mergeCell ref="C68:C69"/>
    <mergeCell ref="D68:G68"/>
    <mergeCell ref="A68:A69"/>
    <mergeCell ref="B68:B69"/>
    <mergeCell ref="A74:A75"/>
    <mergeCell ref="B74:B75"/>
    <mergeCell ref="C74:C75"/>
    <mergeCell ref="D74:G74"/>
    <mergeCell ref="C76:C77"/>
    <mergeCell ref="C82:C83"/>
    <mergeCell ref="A82:A83"/>
    <mergeCell ref="B82:B83"/>
    <mergeCell ref="B91:B92"/>
    <mergeCell ref="C91:C92"/>
    <mergeCell ref="D82:G82"/>
    <mergeCell ref="B55:B56"/>
    <mergeCell ref="C55:C56"/>
    <mergeCell ref="D55:G55"/>
    <mergeCell ref="B48:B49"/>
    <mergeCell ref="C48:C49"/>
    <mergeCell ref="D48:G48"/>
    <mergeCell ref="D91:G91"/>
    <mergeCell ref="B60:B61"/>
    <mergeCell ref="C60:C61"/>
    <mergeCell ref="D60:G60"/>
    <mergeCell ref="D62:D63"/>
    <mergeCell ref="E62:E63"/>
    <mergeCell ref="F62:F63"/>
    <mergeCell ref="G62:G63"/>
    <mergeCell ref="D76:D77"/>
    <mergeCell ref="E76:E77"/>
    <mergeCell ref="F76:F77"/>
    <mergeCell ref="G76:G77"/>
    <mergeCell ref="H76:H77"/>
    <mergeCell ref="H68:I68"/>
    <mergeCell ref="J68:M68"/>
    <mergeCell ref="H74:I74"/>
    <mergeCell ref="J74:M74"/>
    <mergeCell ref="I76:I77"/>
    <mergeCell ref="H93:H94"/>
    <mergeCell ref="I93:I94"/>
    <mergeCell ref="H91:I91"/>
    <mergeCell ref="H82:I82"/>
    <mergeCell ref="J82:M82"/>
    <mergeCell ref="J91:M91"/>
    <mergeCell ref="C93:C94"/>
    <mergeCell ref="D93:D94"/>
    <mergeCell ref="E93:E94"/>
    <mergeCell ref="F93:F94"/>
    <mergeCell ref="G93:G94"/>
    <mergeCell ref="H62:H63"/>
    <mergeCell ref="I62:I63"/>
    <mergeCell ref="H20:I20"/>
    <mergeCell ref="J20:M20"/>
    <mergeCell ref="H28:I28"/>
    <mergeCell ref="J28:M28"/>
    <mergeCell ref="H37:I37"/>
    <mergeCell ref="J37:M37"/>
    <mergeCell ref="H22:H23"/>
    <mergeCell ref="I22:I23"/>
    <mergeCell ref="H48:I48"/>
    <mergeCell ref="J48:M48"/>
    <mergeCell ref="H55:I55"/>
    <mergeCell ref="J55:M55"/>
    <mergeCell ref="H60:I60"/>
    <mergeCell ref="J60:M60"/>
    <mergeCell ref="A5:A6"/>
    <mergeCell ref="B5:B6"/>
    <mergeCell ref="D5:G5"/>
    <mergeCell ref="H5:I5"/>
    <mergeCell ref="J5:M5"/>
    <mergeCell ref="C5:C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99"/>
  <sheetViews>
    <sheetView showGridLines="0" zoomScaleNormal="100" workbookViewId="0">
      <selection activeCell="C5" sqref="C5:C6"/>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28515625" customWidth="1"/>
    <col min="10" max="10" width="32.140625" customWidth="1"/>
    <col min="11" max="11" width="12.140625" customWidth="1"/>
    <col min="12" max="13" width="15.140625" customWidth="1"/>
  </cols>
  <sheetData>
    <row r="4" spans="1:13" ht="9" customHeight="1" thickBot="1" x14ac:dyDescent="0.3"/>
    <row r="5" spans="1:13" ht="30" customHeight="1" thickTop="1" thickBot="1" x14ac:dyDescent="0.3">
      <c r="A5" s="639" t="s">
        <v>0</v>
      </c>
      <c r="B5" s="639" t="s">
        <v>1</v>
      </c>
      <c r="C5" s="639" t="s">
        <v>2569</v>
      </c>
      <c r="D5" s="636" t="s">
        <v>1961</v>
      </c>
      <c r="E5" s="637"/>
      <c r="F5" s="637"/>
      <c r="G5" s="638"/>
      <c r="H5" s="636" t="s">
        <v>3</v>
      </c>
      <c r="I5" s="637"/>
      <c r="J5" s="636" t="s">
        <v>1962</v>
      </c>
      <c r="K5" s="637"/>
      <c r="L5" s="637"/>
      <c r="M5" s="638"/>
    </row>
    <row r="6" spans="1:13" ht="33.75" customHeight="1" thickTop="1" thickBot="1" x14ac:dyDescent="0.3">
      <c r="A6" s="640"/>
      <c r="B6" s="640"/>
      <c r="C6" s="640"/>
      <c r="D6" s="209" t="s">
        <v>4</v>
      </c>
      <c r="E6" s="209" t="s">
        <v>5</v>
      </c>
      <c r="F6" s="209" t="s">
        <v>6</v>
      </c>
      <c r="G6" s="209" t="s">
        <v>7</v>
      </c>
      <c r="H6" s="209" t="s">
        <v>2</v>
      </c>
      <c r="I6" s="209" t="s">
        <v>3</v>
      </c>
      <c r="J6" s="209" t="s">
        <v>8</v>
      </c>
      <c r="K6" s="209" t="s">
        <v>9</v>
      </c>
      <c r="L6" s="209" t="s">
        <v>1963</v>
      </c>
      <c r="M6" s="209" t="s">
        <v>1964</v>
      </c>
    </row>
    <row r="7" spans="1:13" ht="47.25" customHeight="1" thickTop="1" thickBot="1" x14ac:dyDescent="0.3">
      <c r="A7" s="211" t="s">
        <v>1946</v>
      </c>
      <c r="B7" s="210" t="s">
        <v>1943</v>
      </c>
      <c r="C7" s="649" t="s">
        <v>18</v>
      </c>
      <c r="D7" s="649">
        <v>2</v>
      </c>
      <c r="E7" s="649">
        <v>30</v>
      </c>
      <c r="F7" s="649">
        <v>3</v>
      </c>
      <c r="G7" s="649">
        <v>848</v>
      </c>
      <c r="H7" s="645">
        <v>379428136</v>
      </c>
      <c r="I7" s="647">
        <v>307230000</v>
      </c>
      <c r="J7" s="216" t="s">
        <v>284</v>
      </c>
      <c r="K7" s="214" t="s">
        <v>20</v>
      </c>
      <c r="L7" s="219">
        <v>285</v>
      </c>
      <c r="M7" s="214">
        <v>285</v>
      </c>
    </row>
    <row r="8" spans="1:13" ht="39.75" customHeight="1" thickTop="1" thickBot="1" x14ac:dyDescent="0.3">
      <c r="A8" s="211" t="s">
        <v>1946</v>
      </c>
      <c r="B8" s="210" t="s">
        <v>1943</v>
      </c>
      <c r="C8" s="650"/>
      <c r="D8" s="650"/>
      <c r="E8" s="650"/>
      <c r="F8" s="650"/>
      <c r="G8" s="650"/>
      <c r="H8" s="646"/>
      <c r="I8" s="648"/>
      <c r="J8" s="216" t="s">
        <v>283</v>
      </c>
      <c r="K8" s="214" t="s">
        <v>75</v>
      </c>
      <c r="L8" s="219">
        <v>35910</v>
      </c>
      <c r="M8" s="214">
        <v>33500</v>
      </c>
    </row>
    <row r="9" spans="1:13" ht="48.75" customHeight="1" thickTop="1" thickBot="1" x14ac:dyDescent="0.3">
      <c r="A9" s="211" t="s">
        <v>1946</v>
      </c>
      <c r="B9" s="210" t="s">
        <v>1943</v>
      </c>
      <c r="C9" s="211" t="s">
        <v>53</v>
      </c>
      <c r="D9" s="211">
        <v>2</v>
      </c>
      <c r="E9" s="211">
        <v>30</v>
      </c>
      <c r="F9" s="211">
        <v>3</v>
      </c>
      <c r="G9" s="211">
        <v>520</v>
      </c>
      <c r="H9" s="212">
        <f>382000000+210000000-21145956-10572978</f>
        <v>560281066</v>
      </c>
      <c r="I9" s="213">
        <f>382000000+210000000-21145956-10572978</f>
        <v>560281066</v>
      </c>
      <c r="J9" s="216" t="s">
        <v>282</v>
      </c>
      <c r="K9" s="214" t="s">
        <v>55</v>
      </c>
      <c r="L9" s="219">
        <v>4</v>
      </c>
      <c r="M9" s="214">
        <v>4</v>
      </c>
    </row>
    <row r="10" spans="1:13" ht="48.75" customHeight="1" thickTop="1" thickBot="1" x14ac:dyDescent="0.3">
      <c r="A10" s="211" t="s">
        <v>1946</v>
      </c>
      <c r="B10" s="210" t="s">
        <v>1943</v>
      </c>
      <c r="C10" s="211" t="s">
        <v>53</v>
      </c>
      <c r="D10" s="211">
        <v>2</v>
      </c>
      <c r="E10" s="211">
        <v>30</v>
      </c>
      <c r="F10" s="211">
        <v>3</v>
      </c>
      <c r="G10" s="211">
        <v>520</v>
      </c>
      <c r="H10" s="212">
        <v>24435146</v>
      </c>
      <c r="I10" s="213">
        <v>0</v>
      </c>
      <c r="J10" s="216" t="s">
        <v>281</v>
      </c>
      <c r="K10" s="214" t="s">
        <v>55</v>
      </c>
      <c r="L10" s="219">
        <v>2</v>
      </c>
      <c r="M10" s="214">
        <v>0</v>
      </c>
    </row>
    <row r="11" spans="1:13" ht="47.25" customHeight="1" thickTop="1" thickBot="1" x14ac:dyDescent="0.3">
      <c r="A11" s="211" t="s">
        <v>1946</v>
      </c>
      <c r="B11" s="210" t="s">
        <v>1943</v>
      </c>
      <c r="C11" s="211" t="s">
        <v>53</v>
      </c>
      <c r="D11" s="211">
        <v>2</v>
      </c>
      <c r="E11" s="211">
        <v>30</v>
      </c>
      <c r="F11" s="211">
        <v>3</v>
      </c>
      <c r="G11" s="211">
        <v>520</v>
      </c>
      <c r="H11" s="212">
        <f>40380226+10572978</f>
        <v>50953204</v>
      </c>
      <c r="I11" s="213">
        <f>40380226+10572978</f>
        <v>50953204</v>
      </c>
      <c r="J11" s="216" t="s">
        <v>280</v>
      </c>
      <c r="K11" s="214" t="s">
        <v>103</v>
      </c>
      <c r="L11" s="219">
        <v>1</v>
      </c>
      <c r="M11" s="214">
        <v>1</v>
      </c>
    </row>
    <row r="12" spans="1:13" ht="47.25" customHeight="1" thickTop="1" thickBot="1" x14ac:dyDescent="0.3">
      <c r="A12" s="211" t="s">
        <v>1946</v>
      </c>
      <c r="B12" s="210" t="s">
        <v>1943</v>
      </c>
      <c r="C12" s="289" t="s">
        <v>90</v>
      </c>
      <c r="D12" s="211">
        <v>2</v>
      </c>
      <c r="E12" s="211">
        <v>30</v>
      </c>
      <c r="F12" s="211">
        <v>3</v>
      </c>
      <c r="G12" s="211">
        <v>520</v>
      </c>
      <c r="H12" s="212">
        <v>249662900</v>
      </c>
      <c r="I12" s="213">
        <v>249662900</v>
      </c>
      <c r="J12" s="216" t="s">
        <v>279</v>
      </c>
      <c r="K12" s="214" t="s">
        <v>11</v>
      </c>
      <c r="L12" s="219">
        <v>3161</v>
      </c>
      <c r="M12" s="214">
        <v>3161</v>
      </c>
    </row>
    <row r="13" spans="1:13" ht="16.5" thickTop="1" thickBot="1" x14ac:dyDescent="0.3">
      <c r="A13" s="218"/>
      <c r="B13" s="30"/>
      <c r="C13" s="30"/>
      <c r="D13" s="30"/>
      <c r="E13" s="30"/>
      <c r="F13" s="30"/>
      <c r="G13" s="30"/>
      <c r="H13" s="28"/>
      <c r="I13" s="28"/>
      <c r="J13" s="24"/>
      <c r="K13" s="24"/>
      <c r="L13" s="41"/>
      <c r="M13" s="41"/>
    </row>
    <row r="14" spans="1:13" ht="30" customHeight="1" thickTop="1" thickBot="1" x14ac:dyDescent="0.3">
      <c r="A14" s="639" t="s">
        <v>0</v>
      </c>
      <c r="B14" s="639" t="s">
        <v>1</v>
      </c>
      <c r="C14" s="639" t="s">
        <v>2569</v>
      </c>
      <c r="D14" s="636" t="s">
        <v>1961</v>
      </c>
      <c r="E14" s="637"/>
      <c r="F14" s="637"/>
      <c r="G14" s="638"/>
      <c r="H14" s="636" t="s">
        <v>3</v>
      </c>
      <c r="I14" s="637"/>
      <c r="J14" s="636" t="s">
        <v>1962</v>
      </c>
      <c r="K14" s="637"/>
      <c r="L14" s="637"/>
      <c r="M14" s="638"/>
    </row>
    <row r="15" spans="1:13" ht="34.5" customHeight="1" thickTop="1" thickBot="1" x14ac:dyDescent="0.3">
      <c r="A15" s="640"/>
      <c r="B15" s="640"/>
      <c r="C15" s="640"/>
      <c r="D15" s="209" t="s">
        <v>4</v>
      </c>
      <c r="E15" s="209" t="s">
        <v>5</v>
      </c>
      <c r="F15" s="209" t="s">
        <v>6</v>
      </c>
      <c r="G15" s="209" t="s">
        <v>7</v>
      </c>
      <c r="H15" s="209" t="s">
        <v>2</v>
      </c>
      <c r="I15" s="209" t="s">
        <v>3</v>
      </c>
      <c r="J15" s="209" t="s">
        <v>8</v>
      </c>
      <c r="K15" s="209" t="s">
        <v>9</v>
      </c>
      <c r="L15" s="209" t="s">
        <v>1963</v>
      </c>
      <c r="M15" s="209" t="s">
        <v>1964</v>
      </c>
    </row>
    <row r="16" spans="1:13" ht="46.5" thickTop="1" thickBot="1" x14ac:dyDescent="0.3">
      <c r="A16" s="211" t="s">
        <v>1944</v>
      </c>
      <c r="B16" s="210" t="s">
        <v>1943</v>
      </c>
      <c r="C16" s="211" t="s">
        <v>18</v>
      </c>
      <c r="D16" s="211">
        <v>2</v>
      </c>
      <c r="E16" s="211">
        <v>30</v>
      </c>
      <c r="F16" s="211">
        <v>3</v>
      </c>
      <c r="G16" s="211">
        <v>848</v>
      </c>
      <c r="H16" s="212">
        <v>327731255</v>
      </c>
      <c r="I16" s="213">
        <v>232672400</v>
      </c>
      <c r="J16" s="216" t="s">
        <v>278</v>
      </c>
      <c r="K16" s="214" t="s">
        <v>20</v>
      </c>
      <c r="L16" s="219">
        <v>300</v>
      </c>
      <c r="M16" s="214">
        <v>300</v>
      </c>
    </row>
    <row r="17" spans="1:13" ht="46.5" customHeight="1" thickTop="1" thickBot="1" x14ac:dyDescent="0.3">
      <c r="A17" s="211" t="s">
        <v>1944</v>
      </c>
      <c r="B17" s="210" t="s">
        <v>1943</v>
      </c>
      <c r="C17" s="649" t="s">
        <v>53</v>
      </c>
      <c r="D17" s="211">
        <v>2</v>
      </c>
      <c r="E17" s="211">
        <v>30</v>
      </c>
      <c r="F17" s="211">
        <v>3</v>
      </c>
      <c r="G17" s="211">
        <v>520</v>
      </c>
      <c r="H17" s="212">
        <f>299999+137916687-60000000</f>
        <v>78216686</v>
      </c>
      <c r="I17" s="213">
        <f>10650000+50000000</f>
        <v>60650000</v>
      </c>
      <c r="J17" s="216" t="s">
        <v>277</v>
      </c>
      <c r="K17" s="214" t="s">
        <v>276</v>
      </c>
      <c r="L17" s="219">
        <v>1</v>
      </c>
      <c r="M17" s="214">
        <v>1</v>
      </c>
    </row>
    <row r="18" spans="1:13" ht="33" customHeight="1" thickTop="1" thickBot="1" x14ac:dyDescent="0.3">
      <c r="A18" s="211" t="s">
        <v>1944</v>
      </c>
      <c r="B18" s="210" t="s">
        <v>1943</v>
      </c>
      <c r="C18" s="665"/>
      <c r="D18" s="211">
        <v>2</v>
      </c>
      <c r="E18" s="211">
        <v>30</v>
      </c>
      <c r="F18" s="211">
        <v>3</v>
      </c>
      <c r="G18" s="211">
        <v>520</v>
      </c>
      <c r="H18" s="212">
        <f>70000000+10000000</f>
        <v>80000000</v>
      </c>
      <c r="I18" s="213">
        <f>13970000+16800000+11297000+11935000+10000000</f>
        <v>64002000</v>
      </c>
      <c r="J18" s="216" t="s">
        <v>275</v>
      </c>
      <c r="K18" s="214" t="s">
        <v>83</v>
      </c>
      <c r="L18" s="219">
        <v>1</v>
      </c>
      <c r="M18" s="214">
        <v>1</v>
      </c>
    </row>
    <row r="19" spans="1:13" ht="33" customHeight="1" thickTop="1" thickBot="1" x14ac:dyDescent="0.3">
      <c r="A19" s="211" t="s">
        <v>1944</v>
      </c>
      <c r="B19" s="210" t="s">
        <v>1943</v>
      </c>
      <c r="C19" s="665"/>
      <c r="D19" s="211">
        <v>2</v>
      </c>
      <c r="E19" s="211">
        <v>30</v>
      </c>
      <c r="F19" s="211">
        <v>3</v>
      </c>
      <c r="G19" s="211">
        <v>520</v>
      </c>
      <c r="H19" s="212">
        <f>103229359+125477000-90000000+120000000</f>
        <v>258706359</v>
      </c>
      <c r="I19" s="213">
        <f>50190000*2+25000000+12200000</f>
        <v>137580000</v>
      </c>
      <c r="J19" s="216" t="s">
        <v>275</v>
      </c>
      <c r="K19" s="214" t="s">
        <v>83</v>
      </c>
      <c r="L19" s="219">
        <v>1</v>
      </c>
      <c r="M19" s="214">
        <v>1</v>
      </c>
    </row>
    <row r="20" spans="1:13" ht="33" customHeight="1" thickTop="1" thickBot="1" x14ac:dyDescent="0.3">
      <c r="A20" s="211" t="s">
        <v>1944</v>
      </c>
      <c r="B20" s="210" t="s">
        <v>1943</v>
      </c>
      <c r="C20" s="665"/>
      <c r="D20" s="211">
        <v>2</v>
      </c>
      <c r="E20" s="211">
        <v>30</v>
      </c>
      <c r="F20" s="211">
        <v>3</v>
      </c>
      <c r="G20" s="211">
        <v>520</v>
      </c>
      <c r="H20" s="212">
        <v>73186000</v>
      </c>
      <c r="I20" s="213">
        <f>29200000*2+14786000</f>
        <v>73186000</v>
      </c>
      <c r="J20" s="216" t="s">
        <v>275</v>
      </c>
      <c r="K20" s="214" t="s">
        <v>83</v>
      </c>
      <c r="L20" s="219">
        <v>1</v>
      </c>
      <c r="M20" s="214">
        <v>1</v>
      </c>
    </row>
    <row r="21" spans="1:13" ht="33" customHeight="1" thickTop="1" thickBot="1" x14ac:dyDescent="0.3">
      <c r="A21" s="211" t="s">
        <v>1944</v>
      </c>
      <c r="B21" s="210" t="s">
        <v>1943</v>
      </c>
      <c r="C21" s="650"/>
      <c r="D21" s="211">
        <v>2</v>
      </c>
      <c r="E21" s="211">
        <v>30</v>
      </c>
      <c r="F21" s="211">
        <v>3</v>
      </c>
      <c r="G21" s="211">
        <v>520</v>
      </c>
      <c r="H21" s="212">
        <v>45470000</v>
      </c>
      <c r="I21" s="213">
        <f>18000000*2+9094000</f>
        <v>45094000</v>
      </c>
      <c r="J21" s="216" t="s">
        <v>275</v>
      </c>
      <c r="K21" s="214" t="s">
        <v>83</v>
      </c>
      <c r="L21" s="219">
        <v>1</v>
      </c>
      <c r="M21" s="214">
        <v>1</v>
      </c>
    </row>
    <row r="22" spans="1:13" ht="39" customHeight="1" thickTop="1" thickBot="1" x14ac:dyDescent="0.3">
      <c r="A22" s="211" t="s">
        <v>1944</v>
      </c>
      <c r="B22" s="210" t="s">
        <v>1943</v>
      </c>
      <c r="C22" s="289" t="s">
        <v>90</v>
      </c>
      <c r="D22" s="211">
        <v>2</v>
      </c>
      <c r="E22" s="211">
        <v>30</v>
      </c>
      <c r="F22" s="211">
        <v>3</v>
      </c>
      <c r="G22" s="211">
        <v>520</v>
      </c>
      <c r="H22" s="212">
        <f>43307340+156819875+30000000</f>
        <v>230127215</v>
      </c>
      <c r="I22" s="213">
        <f>17094000+15000000+50000000</f>
        <v>82094000</v>
      </c>
      <c r="J22" s="216" t="s">
        <v>274</v>
      </c>
      <c r="K22" s="214" t="s">
        <v>15</v>
      </c>
      <c r="L22" s="219">
        <v>1</v>
      </c>
      <c r="M22" s="214">
        <v>0</v>
      </c>
    </row>
    <row r="23" spans="1:13" ht="16.5" thickTop="1" thickBot="1" x14ac:dyDescent="0.3">
      <c r="A23" s="218"/>
      <c r="B23" s="30"/>
      <c r="C23" s="30"/>
      <c r="D23" s="24"/>
      <c r="E23" s="24"/>
      <c r="F23" s="24"/>
      <c r="G23" s="24"/>
      <c r="H23" s="28"/>
      <c r="I23" s="28"/>
      <c r="J23" s="24"/>
      <c r="K23" s="24"/>
      <c r="L23" s="28"/>
      <c r="M23" s="28"/>
    </row>
    <row r="24" spans="1:13" ht="30" customHeight="1" thickTop="1" thickBot="1" x14ac:dyDescent="0.3">
      <c r="A24" s="639" t="s">
        <v>0</v>
      </c>
      <c r="B24" s="639" t="s">
        <v>1</v>
      </c>
      <c r="C24" s="639" t="s">
        <v>2569</v>
      </c>
      <c r="D24" s="636" t="s">
        <v>1961</v>
      </c>
      <c r="E24" s="637"/>
      <c r="F24" s="637"/>
      <c r="G24" s="638"/>
      <c r="H24" s="636" t="s">
        <v>3</v>
      </c>
      <c r="I24" s="637"/>
      <c r="J24" s="636" t="s">
        <v>1962</v>
      </c>
      <c r="K24" s="637"/>
      <c r="L24" s="637"/>
      <c r="M24" s="638"/>
    </row>
    <row r="25" spans="1:13" ht="34.5" customHeight="1" thickTop="1" thickBot="1" x14ac:dyDescent="0.3">
      <c r="A25" s="640"/>
      <c r="B25" s="640"/>
      <c r="C25" s="640"/>
      <c r="D25" s="209" t="s">
        <v>4</v>
      </c>
      <c r="E25" s="209" t="s">
        <v>5</v>
      </c>
      <c r="F25" s="209" t="s">
        <v>6</v>
      </c>
      <c r="G25" s="209" t="s">
        <v>7</v>
      </c>
      <c r="H25" s="209" t="s">
        <v>2</v>
      </c>
      <c r="I25" s="209" t="s">
        <v>3</v>
      </c>
      <c r="J25" s="209" t="s">
        <v>8</v>
      </c>
      <c r="K25" s="209" t="s">
        <v>9</v>
      </c>
      <c r="L25" s="209" t="s">
        <v>1963</v>
      </c>
      <c r="M25" s="209" t="s">
        <v>1964</v>
      </c>
    </row>
    <row r="26" spans="1:13" ht="48.75" customHeight="1" thickTop="1" thickBot="1" x14ac:dyDescent="0.3">
      <c r="A26" s="289" t="s">
        <v>2494</v>
      </c>
      <c r="B26" s="289" t="s">
        <v>1943</v>
      </c>
      <c r="C26" s="654" t="s">
        <v>18</v>
      </c>
      <c r="D26" s="654">
        <v>2</v>
      </c>
      <c r="E26" s="655">
        <v>30</v>
      </c>
      <c r="F26" s="655">
        <v>3</v>
      </c>
      <c r="G26" s="655">
        <v>848</v>
      </c>
      <c r="H26" s="645">
        <v>518903229</v>
      </c>
      <c r="I26" s="666">
        <v>469482000</v>
      </c>
      <c r="J26" s="253" t="s">
        <v>228</v>
      </c>
      <c r="K26" s="291" t="s">
        <v>20</v>
      </c>
      <c r="L26" s="292">
        <v>896</v>
      </c>
      <c r="M26" s="292">
        <v>802</v>
      </c>
    </row>
    <row r="27" spans="1:13" ht="46.5" thickTop="1" thickBot="1" x14ac:dyDescent="0.3">
      <c r="A27" s="625" t="s">
        <v>2494</v>
      </c>
      <c r="B27" s="289" t="s">
        <v>1943</v>
      </c>
      <c r="C27" s="654"/>
      <c r="D27" s="654"/>
      <c r="E27" s="655"/>
      <c r="F27" s="655"/>
      <c r="G27" s="655"/>
      <c r="H27" s="646"/>
      <c r="I27" s="666"/>
      <c r="J27" s="253" t="s">
        <v>273</v>
      </c>
      <c r="K27" s="291" t="s">
        <v>75</v>
      </c>
      <c r="L27" s="292">
        <v>48152</v>
      </c>
      <c r="M27" s="291">
        <v>43120</v>
      </c>
    </row>
    <row r="28" spans="1:13" ht="57.75" thickTop="1" thickBot="1" x14ac:dyDescent="0.3">
      <c r="A28" s="625" t="s">
        <v>2494</v>
      </c>
      <c r="B28" s="289" t="s">
        <v>1943</v>
      </c>
      <c r="C28" s="289" t="s">
        <v>223</v>
      </c>
      <c r="D28" s="290">
        <v>2</v>
      </c>
      <c r="E28" s="311">
        <v>30</v>
      </c>
      <c r="F28" s="311">
        <v>3</v>
      </c>
      <c r="G28" s="311">
        <v>520</v>
      </c>
      <c r="H28" s="212">
        <v>307000000</v>
      </c>
      <c r="I28" s="296">
        <v>170000000</v>
      </c>
      <c r="J28" s="253" t="s">
        <v>272</v>
      </c>
      <c r="K28" s="291" t="s">
        <v>11</v>
      </c>
      <c r="L28" s="292">
        <v>362</v>
      </c>
      <c r="M28" s="291">
        <v>200</v>
      </c>
    </row>
    <row r="29" spans="1:13" ht="57.75" thickTop="1" thickBot="1" x14ac:dyDescent="0.3">
      <c r="A29" s="625" t="s">
        <v>2494</v>
      </c>
      <c r="B29" s="289" t="s">
        <v>1943</v>
      </c>
      <c r="C29" s="289" t="s">
        <v>223</v>
      </c>
      <c r="D29" s="290">
        <v>2</v>
      </c>
      <c r="E29" s="290">
        <v>30</v>
      </c>
      <c r="F29" s="290">
        <v>3</v>
      </c>
      <c r="G29" s="290">
        <v>520</v>
      </c>
      <c r="H29" s="212">
        <v>329666761</v>
      </c>
      <c r="I29" s="296">
        <v>137961841</v>
      </c>
      <c r="J29" s="253" t="s">
        <v>271</v>
      </c>
      <c r="K29" s="291" t="s">
        <v>55</v>
      </c>
      <c r="L29" s="292">
        <v>5</v>
      </c>
      <c r="M29" s="292">
        <v>2.1</v>
      </c>
    </row>
    <row r="30" spans="1:13" ht="48.75" customHeight="1" thickTop="1" thickBot="1" x14ac:dyDescent="0.3">
      <c r="A30" s="625" t="s">
        <v>2494</v>
      </c>
      <c r="B30" s="289" t="s">
        <v>1943</v>
      </c>
      <c r="C30" s="289" t="s">
        <v>223</v>
      </c>
      <c r="D30" s="290">
        <v>2</v>
      </c>
      <c r="E30" s="290">
        <v>30</v>
      </c>
      <c r="F30" s="290">
        <v>3</v>
      </c>
      <c r="G30" s="290">
        <v>520</v>
      </c>
      <c r="H30" s="212">
        <v>133580000</v>
      </c>
      <c r="I30" s="296">
        <v>0</v>
      </c>
      <c r="J30" s="253" t="s">
        <v>270</v>
      </c>
      <c r="K30" s="291" t="s">
        <v>11</v>
      </c>
      <c r="L30" s="292">
        <v>121</v>
      </c>
      <c r="M30" s="292">
        <v>0</v>
      </c>
    </row>
    <row r="31" spans="1:13" ht="48.75" customHeight="1" thickTop="1" thickBot="1" x14ac:dyDescent="0.3">
      <c r="A31" s="625" t="s">
        <v>2494</v>
      </c>
      <c r="B31" s="289" t="s">
        <v>1943</v>
      </c>
      <c r="C31" s="289" t="s">
        <v>223</v>
      </c>
      <c r="D31" s="290">
        <v>2</v>
      </c>
      <c r="E31" s="290">
        <v>30</v>
      </c>
      <c r="F31" s="290">
        <v>3</v>
      </c>
      <c r="G31" s="290">
        <v>520</v>
      </c>
      <c r="H31" s="212">
        <v>125329737</v>
      </c>
      <c r="I31" s="296">
        <v>0</v>
      </c>
      <c r="J31" s="253" t="s">
        <v>269</v>
      </c>
      <c r="K31" s="291" t="s">
        <v>11</v>
      </c>
      <c r="L31" s="292">
        <v>250</v>
      </c>
      <c r="M31" s="292">
        <v>0</v>
      </c>
    </row>
    <row r="32" spans="1:13" ht="39" customHeight="1" thickTop="1" thickBot="1" x14ac:dyDescent="0.3">
      <c r="A32" s="625" t="s">
        <v>2494</v>
      </c>
      <c r="B32" s="289" t="s">
        <v>1943</v>
      </c>
      <c r="C32" s="289" t="s">
        <v>90</v>
      </c>
      <c r="D32" s="290">
        <v>2</v>
      </c>
      <c r="E32" s="290">
        <v>30</v>
      </c>
      <c r="F32" s="290">
        <v>3</v>
      </c>
      <c r="G32" s="290">
        <v>520</v>
      </c>
      <c r="H32" s="212">
        <v>268854068</v>
      </c>
      <c r="I32" s="296">
        <v>238400000</v>
      </c>
      <c r="J32" s="253" t="s">
        <v>221</v>
      </c>
      <c r="K32" s="291" t="s">
        <v>11</v>
      </c>
      <c r="L32" s="292">
        <v>780</v>
      </c>
      <c r="M32" s="292">
        <v>691</v>
      </c>
    </row>
    <row r="33" spans="1:13" ht="48" customHeight="1" thickTop="1" thickBot="1" x14ac:dyDescent="0.3">
      <c r="A33" s="625" t="s">
        <v>2494</v>
      </c>
      <c r="B33" s="289" t="s">
        <v>1943</v>
      </c>
      <c r="C33" s="289" t="s">
        <v>90</v>
      </c>
      <c r="D33" s="290">
        <v>2</v>
      </c>
      <c r="E33" s="290">
        <v>30</v>
      </c>
      <c r="F33" s="290">
        <v>3</v>
      </c>
      <c r="G33" s="290">
        <v>520</v>
      </c>
      <c r="H33" s="212">
        <v>46343636</v>
      </c>
      <c r="I33" s="296">
        <v>46343636</v>
      </c>
      <c r="J33" s="253" t="s">
        <v>268</v>
      </c>
      <c r="K33" s="292" t="s">
        <v>11</v>
      </c>
      <c r="L33" s="292">
        <v>329</v>
      </c>
      <c r="M33" s="292">
        <v>329</v>
      </c>
    </row>
    <row r="34" spans="1:13" ht="16.5" thickTop="1" thickBot="1" x14ac:dyDescent="0.3">
      <c r="A34" s="158"/>
      <c r="B34" s="158"/>
      <c r="C34" s="158"/>
      <c r="D34" s="158"/>
      <c r="E34" s="158"/>
      <c r="F34" s="158"/>
      <c r="G34" s="158"/>
      <c r="H34" s="236"/>
      <c r="I34" s="236"/>
      <c r="J34" s="165"/>
      <c r="K34" s="164"/>
      <c r="L34" s="164"/>
      <c r="M34" s="164"/>
    </row>
    <row r="35" spans="1:13" ht="30" customHeight="1" thickTop="1" thickBot="1" x14ac:dyDescent="0.3">
      <c r="A35" s="639" t="s">
        <v>0</v>
      </c>
      <c r="B35" s="639" t="s">
        <v>1</v>
      </c>
      <c r="C35" s="639" t="s">
        <v>2569</v>
      </c>
      <c r="D35" s="636" t="s">
        <v>1961</v>
      </c>
      <c r="E35" s="637"/>
      <c r="F35" s="637"/>
      <c r="G35" s="638"/>
      <c r="H35" s="636" t="s">
        <v>3</v>
      </c>
      <c r="I35" s="637"/>
      <c r="J35" s="636" t="s">
        <v>1962</v>
      </c>
      <c r="K35" s="637"/>
      <c r="L35" s="637"/>
      <c r="M35" s="638"/>
    </row>
    <row r="36" spans="1:13" ht="34.5" customHeight="1" thickTop="1" thickBot="1" x14ac:dyDescent="0.3">
      <c r="A36" s="640"/>
      <c r="B36" s="640"/>
      <c r="C36" s="640"/>
      <c r="D36" s="209" t="s">
        <v>4</v>
      </c>
      <c r="E36" s="209" t="s">
        <v>5</v>
      </c>
      <c r="F36" s="209" t="s">
        <v>6</v>
      </c>
      <c r="G36" s="209" t="s">
        <v>7</v>
      </c>
      <c r="H36" s="209" t="s">
        <v>2</v>
      </c>
      <c r="I36" s="209" t="s">
        <v>3</v>
      </c>
      <c r="J36" s="209" t="s">
        <v>8</v>
      </c>
      <c r="K36" s="209" t="s">
        <v>9</v>
      </c>
      <c r="L36" s="209" t="s">
        <v>1963</v>
      </c>
      <c r="M36" s="209" t="s">
        <v>1964</v>
      </c>
    </row>
    <row r="37" spans="1:13" ht="36.75" customHeight="1" thickTop="1" thickBot="1" x14ac:dyDescent="0.3">
      <c r="A37" s="289" t="s">
        <v>2495</v>
      </c>
      <c r="B37" s="289" t="s">
        <v>1943</v>
      </c>
      <c r="C37" s="289" t="s">
        <v>18</v>
      </c>
      <c r="D37" s="290">
        <v>2</v>
      </c>
      <c r="E37" s="290">
        <v>30</v>
      </c>
      <c r="F37" s="290">
        <v>3</v>
      </c>
      <c r="G37" s="290">
        <v>848</v>
      </c>
      <c r="H37" s="296">
        <v>479859269</v>
      </c>
      <c r="I37" s="296">
        <v>395374032</v>
      </c>
      <c r="J37" s="253" t="s">
        <v>267</v>
      </c>
      <c r="K37" s="292" t="s">
        <v>20</v>
      </c>
      <c r="L37" s="292">
        <v>746</v>
      </c>
      <c r="M37" s="292">
        <v>615</v>
      </c>
    </row>
    <row r="38" spans="1:13" ht="46.5" thickTop="1" thickBot="1" x14ac:dyDescent="0.3">
      <c r="A38" s="625" t="s">
        <v>2495</v>
      </c>
      <c r="B38" s="289" t="s">
        <v>1943</v>
      </c>
      <c r="C38" s="289" t="s">
        <v>53</v>
      </c>
      <c r="D38" s="290">
        <v>2</v>
      </c>
      <c r="E38" s="290">
        <v>30</v>
      </c>
      <c r="F38" s="290">
        <v>3</v>
      </c>
      <c r="G38" s="290">
        <v>520</v>
      </c>
      <c r="H38" s="296">
        <v>779743631</v>
      </c>
      <c r="I38" s="296">
        <v>528779607</v>
      </c>
      <c r="J38" s="253" t="s">
        <v>266</v>
      </c>
      <c r="K38" s="292" t="s">
        <v>55</v>
      </c>
      <c r="L38" s="292">
        <v>6</v>
      </c>
      <c r="M38" s="292">
        <v>4</v>
      </c>
    </row>
    <row r="39" spans="1:13" ht="46.5" thickTop="1" thickBot="1" x14ac:dyDescent="0.3">
      <c r="A39" s="625" t="s">
        <v>2495</v>
      </c>
      <c r="B39" s="289" t="s">
        <v>1943</v>
      </c>
      <c r="C39" s="289" t="s">
        <v>53</v>
      </c>
      <c r="D39" s="290">
        <v>2</v>
      </c>
      <c r="E39" s="290">
        <v>30</v>
      </c>
      <c r="F39" s="290">
        <v>3</v>
      </c>
      <c r="G39" s="290">
        <v>520</v>
      </c>
      <c r="H39" s="296">
        <v>70000000</v>
      </c>
      <c r="I39" s="296">
        <v>0</v>
      </c>
      <c r="J39" s="253" t="s">
        <v>265</v>
      </c>
      <c r="K39" s="292" t="s">
        <v>25</v>
      </c>
      <c r="L39" s="292">
        <v>1</v>
      </c>
      <c r="M39" s="292">
        <v>0</v>
      </c>
    </row>
    <row r="40" spans="1:13" ht="47.25" customHeight="1" thickTop="1" thickBot="1" x14ac:dyDescent="0.3">
      <c r="A40" s="625" t="s">
        <v>2495</v>
      </c>
      <c r="B40" s="289" t="s">
        <v>1943</v>
      </c>
      <c r="C40" s="413" t="s">
        <v>53</v>
      </c>
      <c r="D40" s="290">
        <v>2</v>
      </c>
      <c r="E40" s="290">
        <v>30</v>
      </c>
      <c r="F40" s="290">
        <v>3</v>
      </c>
      <c r="G40" s="290">
        <v>530</v>
      </c>
      <c r="H40" s="296">
        <v>25000000</v>
      </c>
      <c r="I40" s="296">
        <v>0</v>
      </c>
      <c r="J40" s="253" t="s">
        <v>264</v>
      </c>
      <c r="K40" s="292" t="s">
        <v>17</v>
      </c>
      <c r="L40" s="292">
        <v>3</v>
      </c>
      <c r="M40" s="292">
        <v>0</v>
      </c>
    </row>
    <row r="41" spans="1:13" ht="34.5" customHeight="1" thickTop="1" thickBot="1" x14ac:dyDescent="0.3">
      <c r="A41" s="625" t="s">
        <v>2495</v>
      </c>
      <c r="B41" s="289" t="s">
        <v>1943</v>
      </c>
      <c r="C41" s="651" t="s">
        <v>105</v>
      </c>
      <c r="D41" s="290">
        <v>2</v>
      </c>
      <c r="E41" s="290">
        <v>30</v>
      </c>
      <c r="F41" s="290">
        <v>3</v>
      </c>
      <c r="G41" s="290">
        <v>540</v>
      </c>
      <c r="H41" s="296">
        <v>0</v>
      </c>
      <c r="I41" s="296">
        <v>0</v>
      </c>
      <c r="J41" s="253" t="s">
        <v>263</v>
      </c>
      <c r="K41" s="292" t="s">
        <v>17</v>
      </c>
      <c r="L41" s="292">
        <v>5</v>
      </c>
      <c r="M41" s="292">
        <v>0</v>
      </c>
    </row>
    <row r="42" spans="1:13" ht="36" customHeight="1" thickTop="1" thickBot="1" x14ac:dyDescent="0.3">
      <c r="A42" s="625" t="s">
        <v>2495</v>
      </c>
      <c r="B42" s="289" t="s">
        <v>1943</v>
      </c>
      <c r="C42" s="653"/>
      <c r="D42" s="290">
        <v>2</v>
      </c>
      <c r="E42" s="290">
        <v>30</v>
      </c>
      <c r="F42" s="290">
        <v>3</v>
      </c>
      <c r="G42" s="290">
        <v>540</v>
      </c>
      <c r="H42" s="296">
        <v>15000000</v>
      </c>
      <c r="I42" s="296">
        <v>9000000</v>
      </c>
      <c r="J42" s="253" t="s">
        <v>262</v>
      </c>
      <c r="K42" s="292" t="s">
        <v>261</v>
      </c>
      <c r="L42" s="292">
        <v>100</v>
      </c>
      <c r="M42" s="292">
        <v>75</v>
      </c>
    </row>
    <row r="43" spans="1:13" ht="57.75" thickTop="1" thickBot="1" x14ac:dyDescent="0.3">
      <c r="A43" s="625" t="s">
        <v>2495</v>
      </c>
      <c r="B43" s="289" t="s">
        <v>1943</v>
      </c>
      <c r="C43" s="289" t="s">
        <v>440</v>
      </c>
      <c r="D43" s="290">
        <v>2</v>
      </c>
      <c r="E43" s="290">
        <v>30</v>
      </c>
      <c r="F43" s="290">
        <v>3</v>
      </c>
      <c r="G43" s="290">
        <v>580</v>
      </c>
      <c r="H43" s="296">
        <v>34000000</v>
      </c>
      <c r="I43" s="296">
        <v>30980000</v>
      </c>
      <c r="J43" s="253" t="s">
        <v>260</v>
      </c>
      <c r="K43" s="292" t="s">
        <v>72</v>
      </c>
      <c r="L43" s="292">
        <v>5</v>
      </c>
      <c r="M43" s="292">
        <v>4</v>
      </c>
    </row>
    <row r="44" spans="1:13" ht="47.25" customHeight="1" thickTop="1" thickBot="1" x14ac:dyDescent="0.3">
      <c r="A44" s="625" t="s">
        <v>2495</v>
      </c>
      <c r="B44" s="289" t="s">
        <v>1943</v>
      </c>
      <c r="C44" s="289" t="s">
        <v>53</v>
      </c>
      <c r="D44" s="290">
        <v>2</v>
      </c>
      <c r="E44" s="290">
        <v>30</v>
      </c>
      <c r="F44" s="290">
        <v>3</v>
      </c>
      <c r="G44" s="290">
        <v>520</v>
      </c>
      <c r="H44" s="296">
        <v>195927997</v>
      </c>
      <c r="I44" s="296">
        <v>152925000</v>
      </c>
      <c r="J44" s="253" t="s">
        <v>2107</v>
      </c>
      <c r="K44" s="292" t="s">
        <v>13</v>
      </c>
      <c r="L44" s="292">
        <v>16</v>
      </c>
      <c r="M44" s="292">
        <v>12</v>
      </c>
    </row>
    <row r="45" spans="1:13" ht="16.5" thickTop="1" thickBot="1" x14ac:dyDescent="0.3">
      <c r="A45" s="217"/>
      <c r="B45" s="228"/>
      <c r="C45" s="228"/>
      <c r="D45" s="234"/>
      <c r="E45" s="234"/>
      <c r="F45" s="234"/>
      <c r="G45" s="234"/>
      <c r="H45" s="234"/>
      <c r="I45" s="234"/>
      <c r="J45" s="234"/>
      <c r="K45" s="234"/>
      <c r="L45" s="234"/>
      <c r="M45" s="238"/>
    </row>
    <row r="46" spans="1:13" ht="30" customHeight="1" thickTop="1" thickBot="1" x14ac:dyDescent="0.3">
      <c r="A46" s="639" t="s">
        <v>0</v>
      </c>
      <c r="B46" s="639" t="s">
        <v>1</v>
      </c>
      <c r="C46" s="639" t="s">
        <v>2569</v>
      </c>
      <c r="D46" s="636" t="s">
        <v>1961</v>
      </c>
      <c r="E46" s="637"/>
      <c r="F46" s="637"/>
      <c r="G46" s="638"/>
      <c r="H46" s="636" t="s">
        <v>3</v>
      </c>
      <c r="I46" s="637"/>
      <c r="J46" s="636" t="s">
        <v>1962</v>
      </c>
      <c r="K46" s="637"/>
      <c r="L46" s="637"/>
      <c r="M46" s="638"/>
    </row>
    <row r="47" spans="1:13" ht="34.5" customHeight="1" thickTop="1" thickBot="1" x14ac:dyDescent="0.3">
      <c r="A47" s="640"/>
      <c r="B47" s="640"/>
      <c r="C47" s="640"/>
      <c r="D47" s="209" t="s">
        <v>4</v>
      </c>
      <c r="E47" s="209" t="s">
        <v>5</v>
      </c>
      <c r="F47" s="209" t="s">
        <v>6</v>
      </c>
      <c r="G47" s="209" t="s">
        <v>7</v>
      </c>
      <c r="H47" s="209" t="s">
        <v>2</v>
      </c>
      <c r="I47" s="209" t="s">
        <v>3</v>
      </c>
      <c r="J47" s="209" t="s">
        <v>8</v>
      </c>
      <c r="K47" s="209" t="s">
        <v>9</v>
      </c>
      <c r="L47" s="209" t="s">
        <v>1963</v>
      </c>
      <c r="M47" s="209" t="s">
        <v>1964</v>
      </c>
    </row>
    <row r="48" spans="1:13" ht="47.25" customHeight="1" thickTop="1" thickBot="1" x14ac:dyDescent="0.3">
      <c r="A48" s="289" t="s">
        <v>2496</v>
      </c>
      <c r="B48" s="289" t="s">
        <v>1943</v>
      </c>
      <c r="C48" s="289" t="s">
        <v>18</v>
      </c>
      <c r="D48" s="290">
        <v>2</v>
      </c>
      <c r="E48" s="290">
        <v>30</v>
      </c>
      <c r="F48" s="290">
        <v>3</v>
      </c>
      <c r="G48" s="290">
        <v>848</v>
      </c>
      <c r="H48" s="296">
        <v>271986770</v>
      </c>
      <c r="I48" s="296">
        <f>134706300+128688750</f>
        <v>263395050</v>
      </c>
      <c r="J48" s="253" t="s">
        <v>259</v>
      </c>
      <c r="K48" s="292" t="s">
        <v>20</v>
      </c>
      <c r="L48" s="292">
        <v>205</v>
      </c>
      <c r="M48" s="292">
        <v>100</v>
      </c>
    </row>
    <row r="49" spans="1:14" ht="48.75" customHeight="1" thickTop="1" thickBot="1" x14ac:dyDescent="0.3">
      <c r="A49" s="625" t="s">
        <v>2496</v>
      </c>
      <c r="B49" s="289" t="s">
        <v>1943</v>
      </c>
      <c r="C49" s="289" t="s">
        <v>53</v>
      </c>
      <c r="D49" s="290">
        <v>3</v>
      </c>
      <c r="E49" s="290">
        <v>30</v>
      </c>
      <c r="F49" s="290">
        <v>3</v>
      </c>
      <c r="G49" s="290">
        <v>520</v>
      </c>
      <c r="H49" s="296">
        <v>188000000</v>
      </c>
      <c r="I49" s="296">
        <f>76940008+8859992</f>
        <v>85800000</v>
      </c>
      <c r="J49" s="253" t="s">
        <v>254</v>
      </c>
      <c r="K49" s="292" t="s">
        <v>55</v>
      </c>
      <c r="L49" s="292">
        <v>4</v>
      </c>
      <c r="M49" s="292">
        <v>2</v>
      </c>
    </row>
    <row r="50" spans="1:14" ht="48.75" customHeight="1" thickTop="1" thickBot="1" x14ac:dyDescent="0.3">
      <c r="A50" s="625" t="s">
        <v>2496</v>
      </c>
      <c r="B50" s="289" t="s">
        <v>1943</v>
      </c>
      <c r="C50" s="289" t="s">
        <v>53</v>
      </c>
      <c r="D50" s="290">
        <v>3</v>
      </c>
      <c r="E50" s="290">
        <v>30</v>
      </c>
      <c r="F50" s="290">
        <v>3</v>
      </c>
      <c r="G50" s="290">
        <v>520</v>
      </c>
      <c r="H50" s="296">
        <v>236000000</v>
      </c>
      <c r="I50" s="296">
        <f>33350000+197395440</f>
        <v>230745440</v>
      </c>
      <c r="J50" s="253" t="s">
        <v>258</v>
      </c>
      <c r="K50" s="292" t="s">
        <v>55</v>
      </c>
      <c r="L50" s="292">
        <v>28</v>
      </c>
      <c r="M50" s="292">
        <v>28</v>
      </c>
    </row>
    <row r="51" spans="1:14" ht="48.75" customHeight="1" thickTop="1" thickBot="1" x14ac:dyDescent="0.3">
      <c r="A51" s="625" t="s">
        <v>2496</v>
      </c>
      <c r="B51" s="289" t="s">
        <v>1943</v>
      </c>
      <c r="C51" s="289" t="s">
        <v>53</v>
      </c>
      <c r="D51" s="290">
        <v>3</v>
      </c>
      <c r="E51" s="290">
        <v>30</v>
      </c>
      <c r="F51" s="290">
        <v>3</v>
      </c>
      <c r="G51" s="290">
        <v>520</v>
      </c>
      <c r="H51" s="296">
        <v>72000000</v>
      </c>
      <c r="I51" s="296">
        <v>71852546</v>
      </c>
      <c r="J51" s="253" t="s">
        <v>257</v>
      </c>
      <c r="K51" s="292" t="s">
        <v>25</v>
      </c>
      <c r="L51" s="292">
        <v>3</v>
      </c>
      <c r="M51" s="292">
        <v>3</v>
      </c>
    </row>
    <row r="52" spans="1:14" ht="36.75" customHeight="1" thickTop="1" thickBot="1" x14ac:dyDescent="0.3">
      <c r="A52" s="625" t="s">
        <v>2496</v>
      </c>
      <c r="B52" s="289" t="s">
        <v>1943</v>
      </c>
      <c r="C52" s="289" t="s">
        <v>90</v>
      </c>
      <c r="D52" s="290">
        <v>2</v>
      </c>
      <c r="E52" s="290">
        <v>30</v>
      </c>
      <c r="F52" s="290">
        <v>3</v>
      </c>
      <c r="G52" s="290">
        <v>520</v>
      </c>
      <c r="H52" s="296">
        <v>138635795</v>
      </c>
      <c r="I52" s="296">
        <f>78355800+48545000</f>
        <v>126900800</v>
      </c>
      <c r="J52" s="253" t="s">
        <v>256</v>
      </c>
      <c r="K52" s="292" t="s">
        <v>158</v>
      </c>
      <c r="L52" s="292">
        <v>100</v>
      </c>
      <c r="M52" s="292">
        <v>100</v>
      </c>
    </row>
    <row r="53" spans="1:14" ht="16.5" thickTop="1" thickBot="1" x14ac:dyDescent="0.3">
      <c r="A53" s="39"/>
      <c r="B53" s="39"/>
      <c r="C53" s="30"/>
      <c r="D53" s="24"/>
      <c r="E53" s="24"/>
      <c r="F53" s="24"/>
      <c r="G53" s="24"/>
      <c r="H53" s="24"/>
      <c r="I53" s="24"/>
      <c r="J53" s="30"/>
      <c r="K53" s="24"/>
      <c r="L53" s="24"/>
      <c r="M53" s="24"/>
    </row>
    <row r="54" spans="1:14" ht="30" customHeight="1" thickTop="1" thickBot="1" x14ac:dyDescent="0.3">
      <c r="A54" s="639" t="s">
        <v>0</v>
      </c>
      <c r="B54" s="639" t="s">
        <v>1</v>
      </c>
      <c r="C54" s="639" t="s">
        <v>2569</v>
      </c>
      <c r="D54" s="636" t="s">
        <v>1961</v>
      </c>
      <c r="E54" s="637"/>
      <c r="F54" s="637"/>
      <c r="G54" s="638"/>
      <c r="H54" s="636" t="s">
        <v>3</v>
      </c>
      <c r="I54" s="637"/>
      <c r="J54" s="636" t="s">
        <v>1962</v>
      </c>
      <c r="K54" s="637"/>
      <c r="L54" s="637"/>
      <c r="M54" s="638"/>
    </row>
    <row r="55" spans="1:14" ht="34.5" customHeight="1" thickTop="1" thickBot="1" x14ac:dyDescent="0.3">
      <c r="A55" s="640"/>
      <c r="B55" s="640"/>
      <c r="C55" s="640"/>
      <c r="D55" s="209" t="s">
        <v>4</v>
      </c>
      <c r="E55" s="209" t="s">
        <v>5</v>
      </c>
      <c r="F55" s="209" t="s">
        <v>6</v>
      </c>
      <c r="G55" s="209" t="s">
        <v>7</v>
      </c>
      <c r="H55" s="209" t="s">
        <v>2</v>
      </c>
      <c r="I55" s="209" t="s">
        <v>3</v>
      </c>
      <c r="J55" s="209" t="s">
        <v>8</v>
      </c>
      <c r="K55" s="209" t="s">
        <v>9</v>
      </c>
      <c r="L55" s="209" t="s">
        <v>1963</v>
      </c>
      <c r="M55" s="209" t="s">
        <v>1964</v>
      </c>
    </row>
    <row r="56" spans="1:14" ht="46.5" thickTop="1" thickBot="1" x14ac:dyDescent="0.3">
      <c r="A56" s="289" t="s">
        <v>1945</v>
      </c>
      <c r="B56" s="289" t="s">
        <v>1943</v>
      </c>
      <c r="C56" s="289" t="s">
        <v>18</v>
      </c>
      <c r="D56" s="290">
        <v>2</v>
      </c>
      <c r="E56" s="290">
        <v>30</v>
      </c>
      <c r="F56" s="290">
        <v>3</v>
      </c>
      <c r="G56" s="290">
        <v>848</v>
      </c>
      <c r="H56" s="296">
        <v>371758691</v>
      </c>
      <c r="I56" s="296">
        <v>237115200</v>
      </c>
      <c r="J56" s="243" t="s">
        <v>255</v>
      </c>
      <c r="K56" s="291" t="s">
        <v>20</v>
      </c>
      <c r="L56" s="292">
        <v>300</v>
      </c>
      <c r="M56" s="292">
        <v>192</v>
      </c>
    </row>
    <row r="57" spans="1:14" ht="49.5" customHeight="1" thickTop="1" thickBot="1" x14ac:dyDescent="0.3">
      <c r="A57" s="289" t="s">
        <v>1945</v>
      </c>
      <c r="B57" s="289" t="s">
        <v>1943</v>
      </c>
      <c r="C57" s="289" t="s">
        <v>53</v>
      </c>
      <c r="D57" s="290">
        <v>2</v>
      </c>
      <c r="E57" s="290">
        <v>30</v>
      </c>
      <c r="F57" s="290">
        <v>3</v>
      </c>
      <c r="G57" s="290">
        <v>520</v>
      </c>
      <c r="H57" s="296">
        <v>344800000</v>
      </c>
      <c r="I57" s="296">
        <v>344800000</v>
      </c>
      <c r="J57" s="243" t="s">
        <v>254</v>
      </c>
      <c r="K57" s="291" t="s">
        <v>55</v>
      </c>
      <c r="L57" s="292">
        <v>4</v>
      </c>
      <c r="M57" s="292">
        <v>4</v>
      </c>
    </row>
    <row r="58" spans="1:14" ht="49.5" customHeight="1" thickTop="1" thickBot="1" x14ac:dyDescent="0.3">
      <c r="A58" s="289" t="s">
        <v>1945</v>
      </c>
      <c r="B58" s="289" t="s">
        <v>1943</v>
      </c>
      <c r="C58" s="289" t="s">
        <v>53</v>
      </c>
      <c r="D58" s="290">
        <v>2</v>
      </c>
      <c r="E58" s="290">
        <v>30</v>
      </c>
      <c r="F58" s="290">
        <v>3</v>
      </c>
      <c r="G58" s="290">
        <v>520</v>
      </c>
      <c r="H58" s="296">
        <f>299874777-82692481+39975595</f>
        <v>257157891</v>
      </c>
      <c r="I58" s="296">
        <f>217182296+39975595</f>
        <v>257157891</v>
      </c>
      <c r="J58" s="243" t="s">
        <v>253</v>
      </c>
      <c r="K58" s="291" t="s">
        <v>55</v>
      </c>
      <c r="L58" s="292">
        <v>3</v>
      </c>
      <c r="M58" s="292">
        <v>3</v>
      </c>
    </row>
    <row r="59" spans="1:14" ht="49.5" customHeight="1" thickTop="1" thickBot="1" x14ac:dyDescent="0.3">
      <c r="A59" s="289" t="s">
        <v>1945</v>
      </c>
      <c r="B59" s="289" t="s">
        <v>1943</v>
      </c>
      <c r="C59" s="289" t="s">
        <v>53</v>
      </c>
      <c r="D59" s="290">
        <v>2</v>
      </c>
      <c r="E59" s="290">
        <v>30</v>
      </c>
      <c r="F59" s="290">
        <v>3</v>
      </c>
      <c r="G59" s="290">
        <v>520</v>
      </c>
      <c r="H59" s="296">
        <v>168458664</v>
      </c>
      <c r="I59" s="296">
        <v>168458664</v>
      </c>
      <c r="J59" s="243" t="s">
        <v>252</v>
      </c>
      <c r="K59" s="291" t="s">
        <v>13</v>
      </c>
      <c r="L59" s="292">
        <v>1</v>
      </c>
      <c r="M59" s="292">
        <v>1</v>
      </c>
    </row>
    <row r="60" spans="1:14" ht="49.5" customHeight="1" thickTop="1" thickBot="1" x14ac:dyDescent="0.3">
      <c r="A60" s="289" t="s">
        <v>1945</v>
      </c>
      <c r="B60" s="289" t="s">
        <v>1943</v>
      </c>
      <c r="C60" s="289" t="s">
        <v>53</v>
      </c>
      <c r="D60" s="290">
        <v>2</v>
      </c>
      <c r="E60" s="290">
        <v>30</v>
      </c>
      <c r="F60" s="290">
        <v>3</v>
      </c>
      <c r="G60" s="290">
        <v>520</v>
      </c>
      <c r="H60" s="296">
        <v>136833479</v>
      </c>
      <c r="I60" s="296">
        <v>0</v>
      </c>
      <c r="J60" s="243" t="s">
        <v>251</v>
      </c>
      <c r="K60" s="291" t="s">
        <v>82</v>
      </c>
      <c r="L60" s="292">
        <v>50</v>
      </c>
      <c r="M60" s="292">
        <v>0</v>
      </c>
    </row>
    <row r="61" spans="1:14" ht="16.5" thickTop="1" thickBot="1" x14ac:dyDescent="0.3">
      <c r="A61" s="217"/>
      <c r="B61" s="228"/>
      <c r="C61" s="239"/>
      <c r="D61" s="240"/>
      <c r="E61" s="240"/>
      <c r="F61" s="240"/>
      <c r="G61" s="240"/>
      <c r="H61" s="240"/>
      <c r="I61" s="240"/>
      <c r="J61" s="240"/>
      <c r="K61" s="240"/>
      <c r="L61" s="241"/>
      <c r="M61" s="16"/>
      <c r="N61" s="54"/>
    </row>
    <row r="62" spans="1:14" ht="30" customHeight="1" thickTop="1" thickBot="1" x14ac:dyDescent="0.3">
      <c r="A62" s="639" t="s">
        <v>0</v>
      </c>
      <c r="B62" s="639" t="s">
        <v>1</v>
      </c>
      <c r="C62" s="639" t="s">
        <v>2569</v>
      </c>
      <c r="D62" s="636" t="s">
        <v>1961</v>
      </c>
      <c r="E62" s="637"/>
      <c r="F62" s="637"/>
      <c r="G62" s="638"/>
      <c r="H62" s="636" t="s">
        <v>3</v>
      </c>
      <c r="I62" s="637"/>
      <c r="J62" s="636" t="s">
        <v>1962</v>
      </c>
      <c r="K62" s="637"/>
      <c r="L62" s="637"/>
      <c r="M62" s="638"/>
    </row>
    <row r="63" spans="1:14" ht="34.5" customHeight="1" thickTop="1" thickBot="1" x14ac:dyDescent="0.3">
      <c r="A63" s="640"/>
      <c r="B63" s="640"/>
      <c r="C63" s="640"/>
      <c r="D63" s="209" t="s">
        <v>4</v>
      </c>
      <c r="E63" s="209" t="s">
        <v>5</v>
      </c>
      <c r="F63" s="209" t="s">
        <v>6</v>
      </c>
      <c r="G63" s="209" t="s">
        <v>7</v>
      </c>
      <c r="H63" s="209" t="s">
        <v>2</v>
      </c>
      <c r="I63" s="209" t="s">
        <v>3</v>
      </c>
      <c r="J63" s="209" t="s">
        <v>8</v>
      </c>
      <c r="K63" s="209" t="s">
        <v>9</v>
      </c>
      <c r="L63" s="209" t="s">
        <v>1963</v>
      </c>
      <c r="M63" s="209" t="s">
        <v>1964</v>
      </c>
    </row>
    <row r="64" spans="1:14" ht="47.25" customHeight="1" thickTop="1" thickBot="1" x14ac:dyDescent="0.3">
      <c r="A64" s="289" t="s">
        <v>1947</v>
      </c>
      <c r="B64" s="289" t="s">
        <v>1943</v>
      </c>
      <c r="C64" s="651" t="s">
        <v>18</v>
      </c>
      <c r="D64" s="290">
        <v>3</v>
      </c>
      <c r="E64" s="290">
        <v>30</v>
      </c>
      <c r="F64" s="290">
        <v>3</v>
      </c>
      <c r="G64" s="290">
        <v>848</v>
      </c>
      <c r="H64" s="296">
        <v>250607138</v>
      </c>
      <c r="I64" s="296">
        <v>165063700</v>
      </c>
      <c r="J64" s="243" t="s">
        <v>250</v>
      </c>
      <c r="K64" s="291" t="s">
        <v>20</v>
      </c>
      <c r="L64" s="292">
        <v>532</v>
      </c>
      <c r="M64" s="292">
        <v>352</v>
      </c>
    </row>
    <row r="65" spans="1:13" ht="33" customHeight="1" thickTop="1" thickBot="1" x14ac:dyDescent="0.3">
      <c r="A65" s="289" t="s">
        <v>1947</v>
      </c>
      <c r="B65" s="289" t="s">
        <v>1943</v>
      </c>
      <c r="C65" s="653"/>
      <c r="D65" s="290">
        <v>3</v>
      </c>
      <c r="E65" s="290">
        <v>30</v>
      </c>
      <c r="F65" s="290">
        <v>3</v>
      </c>
      <c r="G65" s="290">
        <v>988</v>
      </c>
      <c r="H65" s="296">
        <v>121358000</v>
      </c>
      <c r="I65" s="296">
        <v>120358000</v>
      </c>
      <c r="J65" s="243" t="s">
        <v>249</v>
      </c>
      <c r="K65" s="291" t="s">
        <v>16</v>
      </c>
      <c r="L65" s="292">
        <v>2</v>
      </c>
      <c r="M65" s="292">
        <v>2</v>
      </c>
    </row>
    <row r="66" spans="1:13" ht="47.25" customHeight="1" thickTop="1" thickBot="1" x14ac:dyDescent="0.3">
      <c r="A66" s="289" t="s">
        <v>1947</v>
      </c>
      <c r="B66" s="289" t="s">
        <v>1943</v>
      </c>
      <c r="C66" s="289" t="s">
        <v>1968</v>
      </c>
      <c r="D66" s="290">
        <v>3</v>
      </c>
      <c r="E66" s="290">
        <v>30</v>
      </c>
      <c r="F66" s="290">
        <v>3</v>
      </c>
      <c r="G66" s="290">
        <v>520</v>
      </c>
      <c r="H66" s="296">
        <v>167000000</v>
      </c>
      <c r="I66" s="296">
        <v>140220000</v>
      </c>
      <c r="J66" s="243" t="s">
        <v>248</v>
      </c>
      <c r="K66" s="291" t="s">
        <v>55</v>
      </c>
      <c r="L66" s="292">
        <v>2</v>
      </c>
      <c r="M66" s="292">
        <v>2</v>
      </c>
    </row>
    <row r="67" spans="1:13" ht="47.25" customHeight="1" thickTop="1" thickBot="1" x14ac:dyDescent="0.3">
      <c r="A67" s="289" t="s">
        <v>1947</v>
      </c>
      <c r="B67" s="289" t="s">
        <v>1943</v>
      </c>
      <c r="C67" s="289" t="s">
        <v>1968</v>
      </c>
      <c r="D67" s="290">
        <v>3</v>
      </c>
      <c r="E67" s="290">
        <v>30</v>
      </c>
      <c r="F67" s="290">
        <v>3</v>
      </c>
      <c r="G67" s="290">
        <v>520</v>
      </c>
      <c r="H67" s="296">
        <v>107047322</v>
      </c>
      <c r="I67" s="296">
        <v>0</v>
      </c>
      <c r="J67" s="243" t="s">
        <v>247</v>
      </c>
      <c r="K67" s="291" t="s">
        <v>55</v>
      </c>
      <c r="L67" s="292">
        <v>1</v>
      </c>
      <c r="M67" s="292">
        <v>0</v>
      </c>
    </row>
    <row r="68" spans="1:13" ht="47.25" customHeight="1" thickTop="1" thickBot="1" x14ac:dyDescent="0.3">
      <c r="A68" s="289" t="s">
        <v>1947</v>
      </c>
      <c r="B68" s="289" t="s">
        <v>1943</v>
      </c>
      <c r="C68" s="289" t="s">
        <v>1968</v>
      </c>
      <c r="D68" s="290">
        <v>3</v>
      </c>
      <c r="E68" s="290">
        <v>30</v>
      </c>
      <c r="F68" s="290">
        <v>3</v>
      </c>
      <c r="G68" s="290">
        <v>520</v>
      </c>
      <c r="H68" s="296">
        <v>125000000</v>
      </c>
      <c r="I68" s="296">
        <v>125000000</v>
      </c>
      <c r="J68" s="243" t="s">
        <v>246</v>
      </c>
      <c r="K68" s="291" t="s">
        <v>13</v>
      </c>
      <c r="L68" s="292">
        <v>1</v>
      </c>
      <c r="M68" s="292">
        <v>1</v>
      </c>
    </row>
    <row r="69" spans="1:13" ht="47.25" customHeight="1" thickTop="1" thickBot="1" x14ac:dyDescent="0.3">
      <c r="A69" s="289" t="s">
        <v>1947</v>
      </c>
      <c r="B69" s="289" t="s">
        <v>1943</v>
      </c>
      <c r="C69" s="289" t="s">
        <v>1968</v>
      </c>
      <c r="D69" s="290">
        <v>3</v>
      </c>
      <c r="E69" s="290">
        <v>30</v>
      </c>
      <c r="F69" s="290">
        <v>3</v>
      </c>
      <c r="G69" s="290">
        <v>520</v>
      </c>
      <c r="H69" s="296">
        <v>115048054</v>
      </c>
      <c r="I69" s="296">
        <v>115048054</v>
      </c>
      <c r="J69" s="243" t="s">
        <v>245</v>
      </c>
      <c r="K69" s="291" t="s">
        <v>28</v>
      </c>
      <c r="L69" s="292">
        <v>1</v>
      </c>
      <c r="M69" s="292">
        <v>1</v>
      </c>
    </row>
    <row r="70" spans="1:13" ht="47.25" customHeight="1" thickTop="1" thickBot="1" x14ac:dyDescent="0.3">
      <c r="A70" s="289" t="s">
        <v>1947</v>
      </c>
      <c r="B70" s="289" t="s">
        <v>1943</v>
      </c>
      <c r="C70" s="289" t="s">
        <v>1968</v>
      </c>
      <c r="D70" s="290">
        <v>3</v>
      </c>
      <c r="E70" s="290">
        <v>30</v>
      </c>
      <c r="F70" s="290">
        <v>3</v>
      </c>
      <c r="G70" s="290">
        <v>520</v>
      </c>
      <c r="H70" s="296">
        <v>79123281</v>
      </c>
      <c r="I70" s="296">
        <v>0</v>
      </c>
      <c r="J70" s="243" t="s">
        <v>244</v>
      </c>
      <c r="K70" s="291" t="s">
        <v>55</v>
      </c>
      <c r="L70" s="292">
        <v>1</v>
      </c>
      <c r="M70" s="292">
        <v>0</v>
      </c>
    </row>
    <row r="71" spans="1:13" ht="47.25" customHeight="1" thickTop="1" thickBot="1" x14ac:dyDescent="0.3">
      <c r="A71" s="289" t="s">
        <v>1947</v>
      </c>
      <c r="B71" s="289" t="s">
        <v>1943</v>
      </c>
      <c r="C71" s="289" t="s">
        <v>1968</v>
      </c>
      <c r="D71" s="290">
        <v>2</v>
      </c>
      <c r="E71" s="290">
        <v>30</v>
      </c>
      <c r="F71" s="290">
        <v>3</v>
      </c>
      <c r="G71" s="290">
        <v>520</v>
      </c>
      <c r="H71" s="296">
        <v>60000000</v>
      </c>
      <c r="I71" s="296">
        <v>0</v>
      </c>
      <c r="J71" s="243" t="s">
        <v>243</v>
      </c>
      <c r="K71" s="291" t="s">
        <v>55</v>
      </c>
      <c r="L71" s="292">
        <v>2</v>
      </c>
      <c r="M71" s="292">
        <v>0</v>
      </c>
    </row>
    <row r="72" spans="1:13" ht="37.5" customHeight="1" thickTop="1" thickBot="1" x14ac:dyDescent="0.3">
      <c r="A72" s="289" t="s">
        <v>1947</v>
      </c>
      <c r="B72" s="289" t="s">
        <v>1943</v>
      </c>
      <c r="C72" s="289" t="s">
        <v>90</v>
      </c>
      <c r="D72" s="290">
        <v>3</v>
      </c>
      <c r="E72" s="290">
        <v>30</v>
      </c>
      <c r="F72" s="290">
        <v>3</v>
      </c>
      <c r="G72" s="290">
        <v>520</v>
      </c>
      <c r="H72" s="296">
        <v>125700000</v>
      </c>
      <c r="I72" s="296">
        <v>125700000</v>
      </c>
      <c r="J72" s="243" t="s">
        <v>242</v>
      </c>
      <c r="K72" s="291" t="s">
        <v>11</v>
      </c>
      <c r="L72" s="292">
        <v>1666</v>
      </c>
      <c r="M72" s="292">
        <v>1666</v>
      </c>
    </row>
    <row r="73" spans="1:13" ht="45.75" customHeight="1" thickTop="1" x14ac:dyDescent="0.25">
      <c r="A73" s="588" t="s">
        <v>1947</v>
      </c>
      <c r="B73" s="588" t="s">
        <v>1943</v>
      </c>
      <c r="C73" s="588" t="s">
        <v>1968</v>
      </c>
      <c r="D73" s="588">
        <v>3</v>
      </c>
      <c r="E73" s="588">
        <v>30</v>
      </c>
      <c r="F73" s="588">
        <v>3</v>
      </c>
      <c r="G73" s="588">
        <v>980</v>
      </c>
      <c r="H73" s="595">
        <v>89000000</v>
      </c>
      <c r="I73" s="595">
        <v>89000000</v>
      </c>
      <c r="J73" s="596" t="s">
        <v>241</v>
      </c>
      <c r="K73" s="592" t="s">
        <v>16</v>
      </c>
      <c r="L73" s="593">
        <v>2</v>
      </c>
      <c r="M73" s="593">
        <v>2</v>
      </c>
    </row>
    <row r="74" spans="1:13" s="54" customFormat="1" ht="15.75" thickBot="1" x14ac:dyDescent="0.3">
      <c r="A74" s="184"/>
      <c r="B74" s="184"/>
      <c r="C74" s="184"/>
      <c r="D74" s="184"/>
      <c r="E74" s="184"/>
      <c r="F74" s="184"/>
      <c r="G74" s="184"/>
      <c r="H74" s="172"/>
      <c r="I74" s="172"/>
      <c r="J74" s="157"/>
      <c r="K74" s="157"/>
      <c r="L74" s="172"/>
      <c r="M74" s="172"/>
    </row>
    <row r="75" spans="1:13" ht="30" customHeight="1" thickTop="1" thickBot="1" x14ac:dyDescent="0.3">
      <c r="A75" s="639" t="s">
        <v>0</v>
      </c>
      <c r="B75" s="639" t="s">
        <v>1</v>
      </c>
      <c r="C75" s="639" t="s">
        <v>2569</v>
      </c>
      <c r="D75" s="636" t="s">
        <v>1961</v>
      </c>
      <c r="E75" s="637"/>
      <c r="F75" s="637"/>
      <c r="G75" s="638"/>
      <c r="H75" s="636" t="s">
        <v>3</v>
      </c>
      <c r="I75" s="637"/>
      <c r="J75" s="636" t="s">
        <v>1962</v>
      </c>
      <c r="K75" s="637"/>
      <c r="L75" s="637"/>
      <c r="M75" s="638"/>
    </row>
    <row r="76" spans="1:13" ht="34.5" customHeight="1" thickTop="1" thickBot="1" x14ac:dyDescent="0.3">
      <c r="A76" s="640"/>
      <c r="B76" s="640"/>
      <c r="C76" s="640"/>
      <c r="D76" s="209" t="s">
        <v>4</v>
      </c>
      <c r="E76" s="209" t="s">
        <v>5</v>
      </c>
      <c r="F76" s="209" t="s">
        <v>6</v>
      </c>
      <c r="G76" s="209" t="s">
        <v>7</v>
      </c>
      <c r="H76" s="209" t="s">
        <v>2</v>
      </c>
      <c r="I76" s="209" t="s">
        <v>3</v>
      </c>
      <c r="J76" s="209" t="s">
        <v>8</v>
      </c>
      <c r="K76" s="209" t="s">
        <v>9</v>
      </c>
      <c r="L76" s="209" t="s">
        <v>1963</v>
      </c>
      <c r="M76" s="209" t="s">
        <v>1964</v>
      </c>
    </row>
    <row r="77" spans="1:13" ht="49.5" customHeight="1" thickTop="1" thickBot="1" x14ac:dyDescent="0.3">
      <c r="A77" s="590" t="s">
        <v>2448</v>
      </c>
      <c r="B77" s="590" t="s">
        <v>1950</v>
      </c>
      <c r="C77" s="651" t="s">
        <v>18</v>
      </c>
      <c r="D77" s="654">
        <v>2</v>
      </c>
      <c r="E77" s="655">
        <v>30</v>
      </c>
      <c r="F77" s="651">
        <v>3</v>
      </c>
      <c r="G77" s="655">
        <v>848</v>
      </c>
      <c r="H77" s="656">
        <f>366844213-81400000</f>
        <v>285444213</v>
      </c>
      <c r="I77" s="656">
        <v>274677500</v>
      </c>
      <c r="J77" s="587" t="s">
        <v>228</v>
      </c>
      <c r="K77" s="589" t="s">
        <v>20</v>
      </c>
      <c r="L77" s="586">
        <v>896</v>
      </c>
      <c r="M77" s="586">
        <v>860</v>
      </c>
    </row>
    <row r="78" spans="1:13" ht="47.25" customHeight="1" thickTop="1" thickBot="1" x14ac:dyDescent="0.3">
      <c r="A78" s="597" t="s">
        <v>2448</v>
      </c>
      <c r="B78" s="590" t="s">
        <v>1950</v>
      </c>
      <c r="C78" s="652"/>
      <c r="D78" s="654"/>
      <c r="E78" s="655"/>
      <c r="F78" s="653"/>
      <c r="G78" s="655"/>
      <c r="H78" s="656"/>
      <c r="I78" s="656"/>
      <c r="J78" s="587" t="s">
        <v>227</v>
      </c>
      <c r="K78" s="589" t="s">
        <v>75</v>
      </c>
      <c r="L78" s="586">
        <v>26203</v>
      </c>
      <c r="M78" s="589">
        <v>25156</v>
      </c>
    </row>
    <row r="79" spans="1:13" ht="38.25" customHeight="1" thickTop="1" thickBot="1" x14ac:dyDescent="0.3">
      <c r="A79" s="597" t="s">
        <v>2448</v>
      </c>
      <c r="B79" s="590" t="s">
        <v>1950</v>
      </c>
      <c r="C79" s="653"/>
      <c r="D79" s="590">
        <v>2</v>
      </c>
      <c r="E79" s="590">
        <v>30</v>
      </c>
      <c r="F79" s="590">
        <v>3</v>
      </c>
      <c r="G79" s="590">
        <v>960</v>
      </c>
      <c r="H79" s="591">
        <v>81400000</v>
      </c>
      <c r="I79" s="591">
        <v>81400000</v>
      </c>
      <c r="J79" s="243" t="s">
        <v>226</v>
      </c>
      <c r="K79" s="589" t="s">
        <v>16</v>
      </c>
      <c r="L79" s="586">
        <v>1</v>
      </c>
      <c r="M79" s="586">
        <v>1</v>
      </c>
    </row>
    <row r="80" spans="1:13" ht="51" customHeight="1" thickTop="1" thickBot="1" x14ac:dyDescent="0.3">
      <c r="A80" s="597" t="s">
        <v>2448</v>
      </c>
      <c r="B80" s="590" t="s">
        <v>1950</v>
      </c>
      <c r="C80" s="590" t="s">
        <v>223</v>
      </c>
      <c r="D80" s="590">
        <v>2</v>
      </c>
      <c r="E80" s="590">
        <v>30</v>
      </c>
      <c r="F80" s="590">
        <v>3</v>
      </c>
      <c r="G80" s="590">
        <v>520</v>
      </c>
      <c r="H80" s="591">
        <v>170000000</v>
      </c>
      <c r="I80" s="591">
        <v>122350320</v>
      </c>
      <c r="J80" s="243" t="s">
        <v>225</v>
      </c>
      <c r="K80" s="589" t="s">
        <v>11</v>
      </c>
      <c r="L80" s="586">
        <v>200</v>
      </c>
      <c r="M80" s="586">
        <v>144</v>
      </c>
    </row>
    <row r="81" spans="1:13" ht="60" customHeight="1" thickTop="1" thickBot="1" x14ac:dyDescent="0.3">
      <c r="A81" s="597" t="s">
        <v>2448</v>
      </c>
      <c r="B81" s="590" t="s">
        <v>1950</v>
      </c>
      <c r="C81" s="590" t="s">
        <v>223</v>
      </c>
      <c r="D81" s="590">
        <v>2</v>
      </c>
      <c r="E81" s="590">
        <v>30</v>
      </c>
      <c r="F81" s="590">
        <v>3</v>
      </c>
      <c r="G81" s="590">
        <v>520</v>
      </c>
      <c r="H81" s="591">
        <f>505895726-239344213-37718122</f>
        <v>228833391</v>
      </c>
      <c r="I81" s="591">
        <f>109375000</f>
        <v>109375000</v>
      </c>
      <c r="J81" s="243" t="s">
        <v>224</v>
      </c>
      <c r="K81" s="589" t="s">
        <v>55</v>
      </c>
      <c r="L81" s="586">
        <v>4</v>
      </c>
      <c r="M81" s="586">
        <v>2</v>
      </c>
    </row>
    <row r="82" spans="1:13" ht="46.5" thickTop="1" thickBot="1" x14ac:dyDescent="0.3">
      <c r="A82" s="597" t="s">
        <v>2448</v>
      </c>
      <c r="B82" s="590" t="s">
        <v>1950</v>
      </c>
      <c r="C82" s="590" t="s">
        <v>223</v>
      </c>
      <c r="D82" s="590">
        <v>2</v>
      </c>
      <c r="E82" s="590">
        <v>30</v>
      </c>
      <c r="F82" s="590">
        <v>3</v>
      </c>
      <c r="G82" s="590">
        <v>520</v>
      </c>
      <c r="H82" s="591">
        <v>140000000</v>
      </c>
      <c r="I82" s="591">
        <f>103910250</f>
        <v>103910250</v>
      </c>
      <c r="J82" s="243" t="s">
        <v>222</v>
      </c>
      <c r="K82" s="589" t="s">
        <v>11</v>
      </c>
      <c r="L82" s="586">
        <v>66</v>
      </c>
      <c r="M82" s="586">
        <v>49</v>
      </c>
    </row>
    <row r="83" spans="1:13" ht="35.25" thickTop="1" thickBot="1" x14ac:dyDescent="0.3">
      <c r="A83" s="597" t="s">
        <v>2448</v>
      </c>
      <c r="B83" s="590" t="s">
        <v>1950</v>
      </c>
      <c r="C83" s="590" t="s">
        <v>90</v>
      </c>
      <c r="D83" s="590">
        <v>2</v>
      </c>
      <c r="E83" s="590">
        <v>30</v>
      </c>
      <c r="F83" s="590">
        <v>3</v>
      </c>
      <c r="G83" s="590">
        <v>520</v>
      </c>
      <c r="H83" s="591">
        <v>181856000</v>
      </c>
      <c r="I83" s="591">
        <v>181856000</v>
      </c>
      <c r="J83" s="243" t="s">
        <v>221</v>
      </c>
      <c r="K83" s="589" t="s">
        <v>11</v>
      </c>
      <c r="L83" s="586">
        <v>780</v>
      </c>
      <c r="M83" s="586">
        <v>780</v>
      </c>
    </row>
    <row r="84" spans="1:13" ht="46.5" thickTop="1" thickBot="1" x14ac:dyDescent="0.3">
      <c r="A84" s="597" t="s">
        <v>2448</v>
      </c>
      <c r="B84" s="590" t="s">
        <v>1950</v>
      </c>
      <c r="C84" s="590" t="s">
        <v>223</v>
      </c>
      <c r="D84" s="590">
        <v>2</v>
      </c>
      <c r="E84" s="590">
        <v>30</v>
      </c>
      <c r="F84" s="590">
        <v>3</v>
      </c>
      <c r="G84" s="590">
        <v>980</v>
      </c>
      <c r="H84" s="591">
        <v>135280440</v>
      </c>
      <c r="I84" s="591">
        <f>37958340</f>
        <v>37958340</v>
      </c>
      <c r="J84" s="243" t="s">
        <v>220</v>
      </c>
      <c r="K84" s="589" t="s">
        <v>16</v>
      </c>
      <c r="L84" s="586">
        <v>12</v>
      </c>
      <c r="M84" s="586">
        <v>3</v>
      </c>
    </row>
    <row r="85" spans="1:13" ht="16.5" thickTop="1" thickBot="1" x14ac:dyDescent="0.3">
      <c r="A85" s="184"/>
      <c r="B85" s="184"/>
      <c r="C85" s="184"/>
      <c r="D85" s="184"/>
      <c r="E85" s="184"/>
      <c r="F85" s="184"/>
      <c r="G85" s="184"/>
      <c r="H85" s="172"/>
      <c r="I85" s="172"/>
      <c r="J85" s="157"/>
      <c r="K85" s="157"/>
      <c r="L85" s="172"/>
      <c r="M85" s="172"/>
    </row>
    <row r="86" spans="1:13" ht="30" customHeight="1" thickTop="1" thickBot="1" x14ac:dyDescent="0.3">
      <c r="A86" s="639" t="s">
        <v>0</v>
      </c>
      <c r="B86" s="639" t="s">
        <v>1</v>
      </c>
      <c r="C86" s="639" t="s">
        <v>2569</v>
      </c>
      <c r="D86" s="636" t="s">
        <v>1961</v>
      </c>
      <c r="E86" s="637"/>
      <c r="F86" s="637"/>
      <c r="G86" s="638"/>
      <c r="H86" s="636" t="s">
        <v>3</v>
      </c>
      <c r="I86" s="637"/>
      <c r="J86" s="636" t="s">
        <v>1962</v>
      </c>
      <c r="K86" s="637"/>
      <c r="L86" s="637"/>
      <c r="M86" s="638"/>
    </row>
    <row r="87" spans="1:13" ht="34.5" customHeight="1" thickTop="1" thickBot="1" x14ac:dyDescent="0.3">
      <c r="A87" s="640"/>
      <c r="B87" s="640"/>
      <c r="C87" s="640"/>
      <c r="D87" s="209" t="s">
        <v>4</v>
      </c>
      <c r="E87" s="209" t="s">
        <v>5</v>
      </c>
      <c r="F87" s="209" t="s">
        <v>6</v>
      </c>
      <c r="G87" s="209" t="s">
        <v>7</v>
      </c>
      <c r="H87" s="209" t="s">
        <v>2</v>
      </c>
      <c r="I87" s="209" t="s">
        <v>3</v>
      </c>
      <c r="J87" s="209" t="s">
        <v>8</v>
      </c>
      <c r="K87" s="209" t="s">
        <v>9</v>
      </c>
      <c r="L87" s="209" t="s">
        <v>1963</v>
      </c>
      <c r="M87" s="209" t="s">
        <v>1964</v>
      </c>
    </row>
    <row r="88" spans="1:13" ht="50.25" customHeight="1" thickTop="1" thickBot="1" x14ac:dyDescent="0.3">
      <c r="A88" s="289" t="s">
        <v>2497</v>
      </c>
      <c r="B88" s="289" t="s">
        <v>1943</v>
      </c>
      <c r="C88" s="289" t="s">
        <v>18</v>
      </c>
      <c r="D88" s="290">
        <v>2</v>
      </c>
      <c r="E88" s="290">
        <v>30</v>
      </c>
      <c r="F88" s="290">
        <v>3</v>
      </c>
      <c r="G88" s="290">
        <v>848</v>
      </c>
      <c r="H88" s="296">
        <v>329052306</v>
      </c>
      <c r="I88" s="296">
        <v>139992000</v>
      </c>
      <c r="J88" s="243" t="s">
        <v>235</v>
      </c>
      <c r="K88" s="291" t="s">
        <v>20</v>
      </c>
      <c r="L88" s="292">
        <v>600</v>
      </c>
      <c r="M88" s="292">
        <v>600</v>
      </c>
    </row>
    <row r="89" spans="1:13" ht="57.75" thickTop="1" thickBot="1" x14ac:dyDescent="0.3">
      <c r="A89" s="625" t="s">
        <v>2497</v>
      </c>
      <c r="B89" s="289" t="s">
        <v>1943</v>
      </c>
      <c r="C89" s="289" t="s">
        <v>53</v>
      </c>
      <c r="D89" s="290">
        <v>2</v>
      </c>
      <c r="E89" s="290">
        <v>30</v>
      </c>
      <c r="F89" s="290">
        <v>3</v>
      </c>
      <c r="G89" s="290">
        <v>520</v>
      </c>
      <c r="H89" s="296">
        <v>392788713</v>
      </c>
      <c r="I89" s="296">
        <v>85010001</v>
      </c>
      <c r="J89" s="243" t="s">
        <v>234</v>
      </c>
      <c r="K89" s="291" t="s">
        <v>55</v>
      </c>
      <c r="L89" s="292">
        <v>5</v>
      </c>
      <c r="M89" s="292">
        <v>1</v>
      </c>
    </row>
    <row r="90" spans="1:13" ht="46.5" thickTop="1" thickBot="1" x14ac:dyDescent="0.3">
      <c r="A90" s="625" t="s">
        <v>2497</v>
      </c>
      <c r="B90" s="289" t="s">
        <v>1943</v>
      </c>
      <c r="C90" s="289" t="s">
        <v>53</v>
      </c>
      <c r="D90" s="290">
        <v>2</v>
      </c>
      <c r="E90" s="290">
        <v>30</v>
      </c>
      <c r="F90" s="290">
        <v>3</v>
      </c>
      <c r="G90" s="290">
        <v>520</v>
      </c>
      <c r="H90" s="296">
        <v>86000000</v>
      </c>
      <c r="I90" s="296">
        <v>80450097</v>
      </c>
      <c r="J90" s="243" t="s">
        <v>233</v>
      </c>
      <c r="K90" s="291" t="s">
        <v>103</v>
      </c>
      <c r="L90" s="292">
        <v>1</v>
      </c>
      <c r="M90" s="292">
        <v>1</v>
      </c>
    </row>
    <row r="91" spans="1:13" ht="43.5" customHeight="1" thickTop="1" thickBot="1" x14ac:dyDescent="0.3">
      <c r="A91" s="625" t="s">
        <v>2497</v>
      </c>
      <c r="B91" s="289" t="s">
        <v>1943</v>
      </c>
      <c r="C91" s="290" t="s">
        <v>90</v>
      </c>
      <c r="D91" s="290">
        <v>2</v>
      </c>
      <c r="E91" s="290">
        <v>30</v>
      </c>
      <c r="F91" s="290">
        <v>3</v>
      </c>
      <c r="G91" s="290">
        <v>520</v>
      </c>
      <c r="H91" s="296">
        <v>120000000</v>
      </c>
      <c r="I91" s="296">
        <v>0</v>
      </c>
      <c r="J91" s="243" t="s">
        <v>232</v>
      </c>
      <c r="K91" s="291" t="s">
        <v>11</v>
      </c>
      <c r="L91" s="292">
        <v>1400</v>
      </c>
      <c r="M91" s="292">
        <v>0</v>
      </c>
    </row>
    <row r="92" spans="1:13" ht="39" customHeight="1" thickTop="1" thickBot="1" x14ac:dyDescent="0.3">
      <c r="A92" s="625" t="s">
        <v>2497</v>
      </c>
      <c r="B92" s="289" t="s">
        <v>1943</v>
      </c>
      <c r="C92" s="413" t="s">
        <v>105</v>
      </c>
      <c r="D92" s="290">
        <v>2</v>
      </c>
      <c r="E92" s="290">
        <v>30</v>
      </c>
      <c r="F92" s="290">
        <v>3</v>
      </c>
      <c r="G92" s="290">
        <v>540</v>
      </c>
      <c r="H92" s="296">
        <v>71000000</v>
      </c>
      <c r="I92" s="296">
        <v>0</v>
      </c>
      <c r="J92" s="243" t="s">
        <v>231</v>
      </c>
      <c r="K92" s="291" t="s">
        <v>230</v>
      </c>
      <c r="L92" s="292">
        <v>700</v>
      </c>
      <c r="M92" s="292">
        <v>0</v>
      </c>
    </row>
    <row r="93" spans="1:13" ht="39" customHeight="1" thickTop="1" thickBot="1" x14ac:dyDescent="0.3">
      <c r="A93" s="625" t="s">
        <v>2497</v>
      </c>
      <c r="B93" s="289" t="s">
        <v>1943</v>
      </c>
      <c r="C93" s="413" t="s">
        <v>105</v>
      </c>
      <c r="D93" s="290">
        <v>2</v>
      </c>
      <c r="E93" s="290">
        <v>30</v>
      </c>
      <c r="F93" s="290">
        <v>3</v>
      </c>
      <c r="G93" s="290">
        <v>540</v>
      </c>
      <c r="H93" s="296">
        <v>84000000</v>
      </c>
      <c r="I93" s="296">
        <v>0</v>
      </c>
      <c r="J93" s="243" t="s">
        <v>229</v>
      </c>
      <c r="K93" s="291" t="s">
        <v>44</v>
      </c>
      <c r="L93" s="292">
        <v>700</v>
      </c>
      <c r="M93" s="292">
        <v>0</v>
      </c>
    </row>
    <row r="94" spans="1:13" ht="49.5" customHeight="1" thickTop="1" thickBot="1" x14ac:dyDescent="0.3">
      <c r="A94" s="625" t="s">
        <v>2497</v>
      </c>
      <c r="B94" s="289" t="s">
        <v>1943</v>
      </c>
      <c r="C94" s="289" t="s">
        <v>53</v>
      </c>
      <c r="D94" s="290">
        <v>2</v>
      </c>
      <c r="E94" s="290">
        <v>30</v>
      </c>
      <c r="F94" s="290">
        <v>3</v>
      </c>
      <c r="G94" s="290">
        <v>980</v>
      </c>
      <c r="H94" s="296">
        <v>14000000</v>
      </c>
      <c r="I94" s="296">
        <v>0</v>
      </c>
      <c r="J94" s="243" t="s">
        <v>1988</v>
      </c>
      <c r="K94" s="291" t="s">
        <v>16</v>
      </c>
      <c r="L94" s="292">
        <v>1</v>
      </c>
      <c r="M94" s="292">
        <v>0</v>
      </c>
    </row>
    <row r="95" spans="1:13" ht="16.5" thickTop="1" thickBot="1" x14ac:dyDescent="0.3">
      <c r="A95" s="138"/>
      <c r="B95" s="138"/>
      <c r="C95" s="138"/>
      <c r="D95" s="139"/>
      <c r="E95" s="139"/>
      <c r="F95" s="139"/>
      <c r="G95" s="139"/>
      <c r="H95" s="140"/>
      <c r="I95" s="140"/>
      <c r="J95" s="139"/>
      <c r="K95" s="139"/>
      <c r="L95" s="140"/>
      <c r="M95" s="140"/>
    </row>
    <row r="96" spans="1:13" ht="30" customHeight="1" thickTop="1" thickBot="1" x14ac:dyDescent="0.3">
      <c r="A96" s="639" t="s">
        <v>0</v>
      </c>
      <c r="B96" s="639" t="s">
        <v>1</v>
      </c>
      <c r="C96" s="639" t="s">
        <v>2569</v>
      </c>
      <c r="D96" s="636" t="s">
        <v>1961</v>
      </c>
      <c r="E96" s="637"/>
      <c r="F96" s="637"/>
      <c r="G96" s="638"/>
      <c r="H96" s="636" t="s">
        <v>3</v>
      </c>
      <c r="I96" s="637"/>
      <c r="J96" s="636" t="s">
        <v>1962</v>
      </c>
      <c r="K96" s="637"/>
      <c r="L96" s="637"/>
      <c r="M96" s="638"/>
    </row>
    <row r="97" spans="1:13" ht="35.25" customHeight="1" thickTop="1" thickBot="1" x14ac:dyDescent="0.3">
      <c r="A97" s="640"/>
      <c r="B97" s="640"/>
      <c r="C97" s="640"/>
      <c r="D97" s="209" t="s">
        <v>4</v>
      </c>
      <c r="E97" s="209" t="s">
        <v>5</v>
      </c>
      <c r="F97" s="209" t="s">
        <v>6</v>
      </c>
      <c r="G97" s="209" t="s">
        <v>7</v>
      </c>
      <c r="H97" s="209" t="s">
        <v>2</v>
      </c>
      <c r="I97" s="209" t="s">
        <v>3</v>
      </c>
      <c r="J97" s="209" t="s">
        <v>8</v>
      </c>
      <c r="K97" s="209" t="s">
        <v>9</v>
      </c>
      <c r="L97" s="209" t="s">
        <v>1963</v>
      </c>
      <c r="M97" s="209" t="s">
        <v>1964</v>
      </c>
    </row>
    <row r="98" spans="1:13" ht="49.5" customHeight="1" thickTop="1" thickBot="1" x14ac:dyDescent="0.3">
      <c r="A98" s="590" t="s">
        <v>1949</v>
      </c>
      <c r="B98" s="590" t="s">
        <v>1948</v>
      </c>
      <c r="C98" s="590" t="s">
        <v>18</v>
      </c>
      <c r="D98" s="590">
        <v>3</v>
      </c>
      <c r="E98" s="590">
        <v>30</v>
      </c>
      <c r="F98" s="590">
        <v>3</v>
      </c>
      <c r="G98" s="590">
        <v>848</v>
      </c>
      <c r="H98" s="591">
        <f>603943915+2000000</f>
        <v>605943915</v>
      </c>
      <c r="I98" s="591">
        <f>246960000+165000</f>
        <v>247125000</v>
      </c>
      <c r="J98" s="243" t="s">
        <v>240</v>
      </c>
      <c r="K98" s="589" t="s">
        <v>20</v>
      </c>
      <c r="L98" s="586">
        <v>420</v>
      </c>
      <c r="M98" s="586">
        <v>420</v>
      </c>
    </row>
    <row r="99" spans="1:13" ht="48" customHeight="1" thickTop="1" thickBot="1" x14ac:dyDescent="0.3">
      <c r="A99" s="590" t="s">
        <v>1949</v>
      </c>
      <c r="B99" s="590" t="s">
        <v>1948</v>
      </c>
      <c r="C99" s="590" t="s">
        <v>53</v>
      </c>
      <c r="D99" s="590">
        <v>3</v>
      </c>
      <c r="E99" s="590">
        <v>30</v>
      </c>
      <c r="F99" s="590">
        <v>3</v>
      </c>
      <c r="G99" s="590">
        <v>520</v>
      </c>
      <c r="H99" s="591">
        <v>87710000</v>
      </c>
      <c r="I99" s="591">
        <v>87710000</v>
      </c>
      <c r="J99" s="243" t="s">
        <v>239</v>
      </c>
      <c r="K99" s="589" t="s">
        <v>55</v>
      </c>
      <c r="L99" s="586">
        <v>6</v>
      </c>
      <c r="M99" s="586">
        <v>6</v>
      </c>
    </row>
    <row r="100" spans="1:13" ht="46.5" thickTop="1" thickBot="1" x14ac:dyDescent="0.3">
      <c r="A100" s="590" t="s">
        <v>1949</v>
      </c>
      <c r="B100" s="590" t="s">
        <v>1948</v>
      </c>
      <c r="C100" s="590" t="s">
        <v>53</v>
      </c>
      <c r="D100" s="590">
        <v>3</v>
      </c>
      <c r="E100" s="590">
        <v>30</v>
      </c>
      <c r="F100" s="590">
        <v>3</v>
      </c>
      <c r="G100" s="590">
        <v>520</v>
      </c>
      <c r="H100" s="591">
        <v>1025046832</v>
      </c>
      <c r="I100" s="591">
        <v>379150284</v>
      </c>
      <c r="J100" s="243" t="s">
        <v>238</v>
      </c>
      <c r="K100" s="589" t="s">
        <v>55</v>
      </c>
      <c r="L100" s="586">
        <v>8</v>
      </c>
      <c r="M100" s="586">
        <v>7</v>
      </c>
    </row>
    <row r="101" spans="1:13" ht="40.5" customHeight="1" thickTop="1" thickBot="1" x14ac:dyDescent="0.3">
      <c r="A101" s="590" t="s">
        <v>1949</v>
      </c>
      <c r="B101" s="590" t="s">
        <v>1948</v>
      </c>
      <c r="C101" s="590" t="s">
        <v>90</v>
      </c>
      <c r="D101" s="590">
        <v>3</v>
      </c>
      <c r="E101" s="590">
        <v>30</v>
      </c>
      <c r="F101" s="590">
        <v>3</v>
      </c>
      <c r="G101" s="590">
        <v>520</v>
      </c>
      <c r="H101" s="591">
        <v>301112300</v>
      </c>
      <c r="I101" s="591">
        <v>301112300</v>
      </c>
      <c r="J101" s="243" t="s">
        <v>237</v>
      </c>
      <c r="K101" s="589" t="s">
        <v>11</v>
      </c>
      <c r="L101" s="586">
        <v>4247</v>
      </c>
      <c r="M101" s="586">
        <v>4247</v>
      </c>
    </row>
    <row r="102" spans="1:13" ht="15.75" thickTop="1" x14ac:dyDescent="0.25">
      <c r="A102" s="184"/>
      <c r="B102" s="184"/>
      <c r="C102" s="184"/>
      <c r="D102" s="157"/>
      <c r="E102" s="157"/>
      <c r="F102" s="157"/>
      <c r="G102" s="157"/>
      <c r="H102" s="172"/>
      <c r="I102" s="172"/>
      <c r="J102" s="157"/>
      <c r="K102" s="157"/>
      <c r="L102" s="172"/>
      <c r="M102" s="172"/>
    </row>
    <row r="103" spans="1:13" ht="30" customHeight="1" thickBot="1" x14ac:dyDescent="0.3">
      <c r="A103" s="661" t="s">
        <v>0</v>
      </c>
      <c r="B103" s="661" t="s">
        <v>1</v>
      </c>
      <c r="C103" s="661" t="s">
        <v>2569</v>
      </c>
      <c r="D103" s="662" t="s">
        <v>1961</v>
      </c>
      <c r="E103" s="663"/>
      <c r="F103" s="663"/>
      <c r="G103" s="664"/>
      <c r="H103" s="662" t="s">
        <v>3</v>
      </c>
      <c r="I103" s="663"/>
      <c r="J103" s="662" t="s">
        <v>1962</v>
      </c>
      <c r="K103" s="663"/>
      <c r="L103" s="663"/>
      <c r="M103" s="664"/>
    </row>
    <row r="104" spans="1:13" ht="34.5" customHeight="1" thickTop="1" thickBot="1" x14ac:dyDescent="0.3">
      <c r="A104" s="640"/>
      <c r="B104" s="640"/>
      <c r="C104" s="640"/>
      <c r="D104" s="209" t="s">
        <v>4</v>
      </c>
      <c r="E104" s="209" t="s">
        <v>5</v>
      </c>
      <c r="F104" s="209" t="s">
        <v>6</v>
      </c>
      <c r="G104" s="209" t="s">
        <v>7</v>
      </c>
      <c r="H104" s="209" t="s">
        <v>2</v>
      </c>
      <c r="I104" s="209" t="s">
        <v>3</v>
      </c>
      <c r="J104" s="209" t="s">
        <v>8</v>
      </c>
      <c r="K104" s="209" t="s">
        <v>9</v>
      </c>
      <c r="L104" s="209" t="s">
        <v>1963</v>
      </c>
      <c r="M104" s="209" t="s">
        <v>1964</v>
      </c>
    </row>
    <row r="105" spans="1:13" ht="25.5" customHeight="1" thickTop="1" thickBot="1" x14ac:dyDescent="0.3">
      <c r="A105" s="289" t="s">
        <v>1951</v>
      </c>
      <c r="B105" s="651" t="s">
        <v>1943</v>
      </c>
      <c r="C105" s="654" t="s">
        <v>18</v>
      </c>
      <c r="D105" s="660">
        <v>2</v>
      </c>
      <c r="E105" s="660">
        <v>30</v>
      </c>
      <c r="F105" s="660">
        <v>3</v>
      </c>
      <c r="G105" s="660">
        <v>848</v>
      </c>
      <c r="H105" s="660">
        <f>194775182+149081216+70500000</f>
        <v>414356398</v>
      </c>
      <c r="I105" s="660">
        <v>261820000</v>
      </c>
      <c r="J105" s="658" t="s">
        <v>219</v>
      </c>
      <c r="K105" s="291" t="s">
        <v>20</v>
      </c>
      <c r="L105" s="291">
        <v>141</v>
      </c>
      <c r="M105" s="291">
        <v>141</v>
      </c>
    </row>
    <row r="106" spans="1:13" ht="25.5" customHeight="1" thickTop="1" thickBot="1" x14ac:dyDescent="0.3">
      <c r="A106" s="289" t="s">
        <v>1951</v>
      </c>
      <c r="B106" s="653"/>
      <c r="C106" s="654"/>
      <c r="D106" s="660"/>
      <c r="E106" s="660"/>
      <c r="F106" s="660"/>
      <c r="G106" s="660"/>
      <c r="H106" s="660"/>
      <c r="I106" s="660"/>
      <c r="J106" s="658"/>
      <c r="K106" s="291" t="s">
        <v>75</v>
      </c>
      <c r="L106" s="291">
        <f>H105/13000</f>
        <v>31873.569076923079</v>
      </c>
      <c r="M106" s="291">
        <v>20140</v>
      </c>
    </row>
    <row r="107" spans="1:13" ht="48.75" customHeight="1" thickTop="1" thickBot="1" x14ac:dyDescent="0.3">
      <c r="A107" s="289" t="s">
        <v>1951</v>
      </c>
      <c r="B107" s="289" t="s">
        <v>1943</v>
      </c>
      <c r="C107" s="289" t="s">
        <v>152</v>
      </c>
      <c r="D107" s="301">
        <v>2</v>
      </c>
      <c r="E107" s="301">
        <v>30</v>
      </c>
      <c r="F107" s="301">
        <v>3</v>
      </c>
      <c r="G107" s="301">
        <v>520</v>
      </c>
      <c r="H107" s="301">
        <v>270000000</v>
      </c>
      <c r="I107" s="301">
        <v>270000000</v>
      </c>
      <c r="J107" s="253" t="s">
        <v>218</v>
      </c>
      <c r="K107" s="291" t="s">
        <v>55</v>
      </c>
      <c r="L107" s="291">
        <v>3</v>
      </c>
      <c r="M107" s="291">
        <v>3</v>
      </c>
    </row>
    <row r="108" spans="1:13" ht="48.75" customHeight="1" thickTop="1" thickBot="1" x14ac:dyDescent="0.3">
      <c r="A108" s="289" t="s">
        <v>1951</v>
      </c>
      <c r="B108" s="289" t="s">
        <v>1943</v>
      </c>
      <c r="C108" s="289" t="s">
        <v>152</v>
      </c>
      <c r="D108" s="301">
        <v>2</v>
      </c>
      <c r="E108" s="301">
        <v>30</v>
      </c>
      <c r="F108" s="301">
        <v>3</v>
      </c>
      <c r="G108" s="301">
        <v>520</v>
      </c>
      <c r="H108" s="301">
        <v>140000000</v>
      </c>
      <c r="I108" s="301">
        <v>140000000</v>
      </c>
      <c r="J108" s="253" t="s">
        <v>217</v>
      </c>
      <c r="K108" s="291" t="s">
        <v>60</v>
      </c>
      <c r="L108" s="291">
        <v>1</v>
      </c>
      <c r="M108" s="291">
        <v>1</v>
      </c>
    </row>
    <row r="109" spans="1:13" ht="48.75" customHeight="1" thickTop="1" thickBot="1" x14ac:dyDescent="0.3">
      <c r="A109" s="289" t="s">
        <v>1951</v>
      </c>
      <c r="B109" s="289" t="s">
        <v>1943</v>
      </c>
      <c r="C109" s="289" t="s">
        <v>152</v>
      </c>
      <c r="D109" s="301">
        <v>2</v>
      </c>
      <c r="E109" s="301">
        <v>30</v>
      </c>
      <c r="F109" s="301">
        <v>3</v>
      </c>
      <c r="G109" s="301">
        <v>520</v>
      </c>
      <c r="H109" s="301">
        <v>151701774</v>
      </c>
      <c r="I109" s="301">
        <v>150000000</v>
      </c>
      <c r="J109" s="253" t="s">
        <v>216</v>
      </c>
      <c r="K109" s="291" t="s">
        <v>25</v>
      </c>
      <c r="L109" s="291">
        <v>3</v>
      </c>
      <c r="M109" s="291">
        <v>3</v>
      </c>
    </row>
    <row r="110" spans="1:13" ht="48.75" customHeight="1" thickTop="1" thickBot="1" x14ac:dyDescent="0.3">
      <c r="A110" s="289" t="s">
        <v>1951</v>
      </c>
      <c r="B110" s="289" t="s">
        <v>1943</v>
      </c>
      <c r="C110" s="289" t="s">
        <v>152</v>
      </c>
      <c r="D110" s="301">
        <v>2</v>
      </c>
      <c r="E110" s="301">
        <v>30</v>
      </c>
      <c r="F110" s="301">
        <v>3</v>
      </c>
      <c r="G110" s="301">
        <v>530</v>
      </c>
      <c r="H110" s="301">
        <v>135000000</v>
      </c>
      <c r="I110" s="301">
        <v>131600000</v>
      </c>
      <c r="J110" s="253" t="s">
        <v>215</v>
      </c>
      <c r="K110" s="291" t="s">
        <v>17</v>
      </c>
      <c r="L110" s="291">
        <v>470</v>
      </c>
      <c r="M110" s="291">
        <v>470</v>
      </c>
    </row>
    <row r="111" spans="1:13" ht="42" customHeight="1" thickTop="1" thickBot="1" x14ac:dyDescent="0.3">
      <c r="A111" s="289" t="s">
        <v>1951</v>
      </c>
      <c r="B111" s="289" t="s">
        <v>1943</v>
      </c>
      <c r="C111" s="290" t="s">
        <v>90</v>
      </c>
      <c r="D111" s="301">
        <v>2</v>
      </c>
      <c r="E111" s="301">
        <v>30</v>
      </c>
      <c r="F111" s="301">
        <v>3</v>
      </c>
      <c r="G111" s="301">
        <v>520</v>
      </c>
      <c r="H111" s="301">
        <f>129850121+95160628+47000000-50000000</f>
        <v>222010749</v>
      </c>
      <c r="I111" s="301">
        <v>216000000</v>
      </c>
      <c r="J111" s="253" t="s">
        <v>214</v>
      </c>
      <c r="K111" s="291" t="s">
        <v>68</v>
      </c>
      <c r="L111" s="291">
        <v>62</v>
      </c>
      <c r="M111" s="291">
        <v>60</v>
      </c>
    </row>
    <row r="112" spans="1:13" ht="42" customHeight="1" thickTop="1" thickBot="1" x14ac:dyDescent="0.3">
      <c r="A112" s="289" t="s">
        <v>1951</v>
      </c>
      <c r="B112" s="289" t="s">
        <v>1943</v>
      </c>
      <c r="C112" s="290" t="s">
        <v>90</v>
      </c>
      <c r="D112" s="301">
        <v>2</v>
      </c>
      <c r="E112" s="301">
        <v>30</v>
      </c>
      <c r="F112" s="301">
        <v>3</v>
      </c>
      <c r="G112" s="301">
        <v>520</v>
      </c>
      <c r="H112" s="301">
        <v>50000000</v>
      </c>
      <c r="I112" s="301">
        <v>50000000</v>
      </c>
      <c r="J112" s="253" t="s">
        <v>213</v>
      </c>
      <c r="K112" s="291" t="s">
        <v>96</v>
      </c>
      <c r="L112" s="291">
        <v>1</v>
      </c>
      <c r="M112" s="291">
        <v>1</v>
      </c>
    </row>
    <row r="113" spans="1:13" ht="16.5" thickTop="1" thickBot="1" x14ac:dyDescent="0.3">
      <c r="A113" s="244"/>
      <c r="B113" s="244"/>
      <c r="C113" s="245"/>
      <c r="D113" s="246"/>
      <c r="E113" s="246"/>
      <c r="F113" s="246"/>
      <c r="G113" s="246"/>
      <c r="H113" s="246"/>
      <c r="I113" s="246"/>
      <c r="J113" s="247"/>
      <c r="K113" s="247"/>
      <c r="L113" s="247"/>
      <c r="M113" s="247"/>
    </row>
    <row r="114" spans="1:13" ht="30" customHeight="1" thickTop="1" thickBot="1" x14ac:dyDescent="0.3">
      <c r="A114" s="639" t="s">
        <v>0</v>
      </c>
      <c r="B114" s="639" t="s">
        <v>1</v>
      </c>
      <c r="C114" s="639" t="s">
        <v>2569</v>
      </c>
      <c r="D114" s="636" t="s">
        <v>1961</v>
      </c>
      <c r="E114" s="637"/>
      <c r="F114" s="637"/>
      <c r="G114" s="638"/>
      <c r="H114" s="636" t="s">
        <v>3</v>
      </c>
      <c r="I114" s="637"/>
      <c r="J114" s="636" t="s">
        <v>1962</v>
      </c>
      <c r="K114" s="637"/>
      <c r="L114" s="637"/>
      <c r="M114" s="638"/>
    </row>
    <row r="115" spans="1:13" ht="34.5" customHeight="1" thickTop="1" thickBot="1" x14ac:dyDescent="0.3">
      <c r="A115" s="640"/>
      <c r="B115" s="640"/>
      <c r="C115" s="640"/>
      <c r="D115" s="209" t="s">
        <v>4</v>
      </c>
      <c r="E115" s="209" t="s">
        <v>5</v>
      </c>
      <c r="F115" s="209" t="s">
        <v>6</v>
      </c>
      <c r="G115" s="209" t="s">
        <v>7</v>
      </c>
      <c r="H115" s="209" t="s">
        <v>2</v>
      </c>
      <c r="I115" s="209" t="s">
        <v>3</v>
      </c>
      <c r="J115" s="209" t="s">
        <v>8</v>
      </c>
      <c r="K115" s="209" t="s">
        <v>9</v>
      </c>
      <c r="L115" s="209" t="s">
        <v>1963</v>
      </c>
      <c r="M115" s="209" t="s">
        <v>1964</v>
      </c>
    </row>
    <row r="116" spans="1:13" ht="35.25" thickTop="1" thickBot="1" x14ac:dyDescent="0.3">
      <c r="A116" s="289" t="s">
        <v>1952</v>
      </c>
      <c r="B116" s="289" t="s">
        <v>1943</v>
      </c>
      <c r="C116" s="289" t="s">
        <v>18</v>
      </c>
      <c r="D116" s="299">
        <v>3</v>
      </c>
      <c r="E116" s="299">
        <v>30</v>
      </c>
      <c r="F116" s="299">
        <v>3</v>
      </c>
      <c r="G116" s="299">
        <v>848</v>
      </c>
      <c r="H116" s="292">
        <v>263676293</v>
      </c>
      <c r="I116" s="292">
        <v>0</v>
      </c>
      <c r="J116" s="253" t="s">
        <v>211</v>
      </c>
      <c r="K116" s="291" t="s">
        <v>20</v>
      </c>
      <c r="L116" s="292">
        <v>418</v>
      </c>
      <c r="M116" s="292">
        <v>0</v>
      </c>
    </row>
    <row r="117" spans="1:13" ht="46.5" thickTop="1" thickBot="1" x14ac:dyDescent="0.3">
      <c r="A117" s="289" t="s">
        <v>1952</v>
      </c>
      <c r="B117" s="289" t="s">
        <v>1943</v>
      </c>
      <c r="C117" s="289" t="s">
        <v>53</v>
      </c>
      <c r="D117" s="299">
        <v>3</v>
      </c>
      <c r="E117" s="299">
        <v>30</v>
      </c>
      <c r="F117" s="299">
        <v>3</v>
      </c>
      <c r="G117" s="299">
        <v>520</v>
      </c>
      <c r="H117" s="292">
        <v>305573547</v>
      </c>
      <c r="I117" s="292">
        <v>265879930</v>
      </c>
      <c r="J117" s="253" t="s">
        <v>210</v>
      </c>
      <c r="K117" s="291" t="s">
        <v>55</v>
      </c>
      <c r="L117" s="292">
        <v>4</v>
      </c>
      <c r="M117" s="292">
        <v>3</v>
      </c>
    </row>
    <row r="118" spans="1:13" ht="46.5" thickTop="1" thickBot="1" x14ac:dyDescent="0.3">
      <c r="A118" s="289" t="s">
        <v>1952</v>
      </c>
      <c r="B118" s="289" t="s">
        <v>1943</v>
      </c>
      <c r="C118" s="289" t="s">
        <v>53</v>
      </c>
      <c r="D118" s="299">
        <v>3</v>
      </c>
      <c r="E118" s="299">
        <v>30</v>
      </c>
      <c r="F118" s="299">
        <v>3</v>
      </c>
      <c r="G118" s="299">
        <v>520</v>
      </c>
      <c r="H118" s="292">
        <v>132004469</v>
      </c>
      <c r="I118" s="292">
        <v>119981946</v>
      </c>
      <c r="J118" s="253" t="s">
        <v>209</v>
      </c>
      <c r="K118" s="291" t="s">
        <v>103</v>
      </c>
      <c r="L118" s="292">
        <v>5</v>
      </c>
      <c r="M118" s="292">
        <v>3</v>
      </c>
    </row>
    <row r="119" spans="1:13" ht="37.5" customHeight="1" thickTop="1" thickBot="1" x14ac:dyDescent="0.3">
      <c r="A119" s="289" t="s">
        <v>1952</v>
      </c>
      <c r="B119" s="289" t="s">
        <v>1943</v>
      </c>
      <c r="C119" s="289" t="s">
        <v>90</v>
      </c>
      <c r="D119" s="299">
        <v>3</v>
      </c>
      <c r="E119" s="299">
        <v>30</v>
      </c>
      <c r="F119" s="299">
        <v>3</v>
      </c>
      <c r="G119" s="299">
        <v>520</v>
      </c>
      <c r="H119" s="292">
        <v>120000000</v>
      </c>
      <c r="I119" s="292">
        <v>0</v>
      </c>
      <c r="J119" s="253" t="s">
        <v>208</v>
      </c>
      <c r="K119" s="291" t="s">
        <v>124</v>
      </c>
      <c r="L119" s="292">
        <v>8000</v>
      </c>
      <c r="M119" s="292">
        <v>0</v>
      </c>
    </row>
    <row r="120" spans="1:13" ht="37.5" customHeight="1" thickTop="1" thickBot="1" x14ac:dyDescent="0.3">
      <c r="A120" s="289" t="s">
        <v>1952</v>
      </c>
      <c r="B120" s="289" t="s">
        <v>1943</v>
      </c>
      <c r="C120" s="413" t="s">
        <v>105</v>
      </c>
      <c r="D120" s="299">
        <v>3</v>
      </c>
      <c r="E120" s="299">
        <v>30</v>
      </c>
      <c r="F120" s="299">
        <v>3</v>
      </c>
      <c r="G120" s="299">
        <v>530</v>
      </c>
      <c r="H120" s="292">
        <v>49800000</v>
      </c>
      <c r="I120" s="292">
        <v>0</v>
      </c>
      <c r="J120" s="253" t="s">
        <v>207</v>
      </c>
      <c r="K120" s="291" t="s">
        <v>44</v>
      </c>
      <c r="L120" s="292">
        <v>332</v>
      </c>
      <c r="M120" s="292">
        <v>0</v>
      </c>
    </row>
    <row r="121" spans="1:13" ht="37.5" customHeight="1" thickTop="1" thickBot="1" x14ac:dyDescent="0.3">
      <c r="A121" s="289" t="s">
        <v>1952</v>
      </c>
      <c r="B121" s="289" t="s">
        <v>1943</v>
      </c>
      <c r="C121" s="413" t="s">
        <v>105</v>
      </c>
      <c r="D121" s="299">
        <v>3</v>
      </c>
      <c r="E121" s="299">
        <v>30</v>
      </c>
      <c r="F121" s="299">
        <v>3</v>
      </c>
      <c r="G121" s="299">
        <v>530</v>
      </c>
      <c r="H121" s="292">
        <v>7500000</v>
      </c>
      <c r="I121" s="292">
        <v>0</v>
      </c>
      <c r="J121" s="253" t="s">
        <v>206</v>
      </c>
      <c r="K121" s="291" t="s">
        <v>66</v>
      </c>
      <c r="L121" s="292">
        <v>5</v>
      </c>
      <c r="M121" s="292">
        <v>0</v>
      </c>
    </row>
    <row r="122" spans="1:13" ht="37.5" customHeight="1" thickTop="1" thickBot="1" x14ac:dyDescent="0.3">
      <c r="A122" s="289" t="s">
        <v>1952</v>
      </c>
      <c r="B122" s="289" t="s">
        <v>1943</v>
      </c>
      <c r="C122" s="413" t="s">
        <v>105</v>
      </c>
      <c r="D122" s="299">
        <v>3</v>
      </c>
      <c r="E122" s="299">
        <v>30</v>
      </c>
      <c r="F122" s="299">
        <v>3</v>
      </c>
      <c r="G122" s="299">
        <v>530</v>
      </c>
      <c r="H122" s="292">
        <v>2700000</v>
      </c>
      <c r="I122" s="292">
        <v>0</v>
      </c>
      <c r="J122" s="253" t="s">
        <v>205</v>
      </c>
      <c r="K122" s="291" t="s">
        <v>190</v>
      </c>
      <c r="L122" s="292">
        <v>2</v>
      </c>
      <c r="M122" s="292">
        <v>0</v>
      </c>
    </row>
    <row r="123" spans="1:13" ht="37.5" customHeight="1" thickTop="1" thickBot="1" x14ac:dyDescent="0.3">
      <c r="A123" s="289" t="s">
        <v>1952</v>
      </c>
      <c r="B123" s="289" t="s">
        <v>1943</v>
      </c>
      <c r="C123" s="413" t="s">
        <v>105</v>
      </c>
      <c r="D123" s="299">
        <v>3</v>
      </c>
      <c r="E123" s="299">
        <v>30</v>
      </c>
      <c r="F123" s="299">
        <v>3</v>
      </c>
      <c r="G123" s="299">
        <v>980</v>
      </c>
      <c r="H123" s="292">
        <v>95300000</v>
      </c>
      <c r="I123" s="292">
        <v>0</v>
      </c>
      <c r="J123" s="253" t="s">
        <v>204</v>
      </c>
      <c r="K123" s="291" t="s">
        <v>16</v>
      </c>
      <c r="L123" s="292">
        <v>2</v>
      </c>
      <c r="M123" s="292">
        <v>0</v>
      </c>
    </row>
    <row r="124" spans="1:13" ht="16.5" thickTop="1" thickBot="1" x14ac:dyDescent="0.3">
      <c r="A124" s="244"/>
      <c r="B124" s="244"/>
      <c r="C124" s="245"/>
      <c r="D124" s="247"/>
      <c r="E124" s="247"/>
      <c r="F124" s="247"/>
      <c r="G124" s="247"/>
      <c r="H124" s="249"/>
      <c r="I124" s="249"/>
      <c r="J124" s="247"/>
      <c r="K124" s="247"/>
      <c r="L124" s="249"/>
      <c r="M124" s="249"/>
    </row>
    <row r="125" spans="1:13" ht="30" customHeight="1" thickTop="1" thickBot="1" x14ac:dyDescent="0.3">
      <c r="A125" s="639" t="s">
        <v>0</v>
      </c>
      <c r="B125" s="639" t="s">
        <v>1</v>
      </c>
      <c r="C125" s="639" t="s">
        <v>2569</v>
      </c>
      <c r="D125" s="636" t="s">
        <v>1961</v>
      </c>
      <c r="E125" s="637"/>
      <c r="F125" s="637"/>
      <c r="G125" s="638"/>
      <c r="H125" s="636" t="s">
        <v>3</v>
      </c>
      <c r="I125" s="637"/>
      <c r="J125" s="636" t="s">
        <v>1962</v>
      </c>
      <c r="K125" s="637"/>
      <c r="L125" s="637"/>
      <c r="M125" s="638"/>
    </row>
    <row r="126" spans="1:13" ht="34.5" customHeight="1" thickTop="1" thickBot="1" x14ac:dyDescent="0.3">
      <c r="A126" s="640"/>
      <c r="B126" s="640"/>
      <c r="C126" s="640"/>
      <c r="D126" s="209" t="s">
        <v>4</v>
      </c>
      <c r="E126" s="209" t="s">
        <v>5</v>
      </c>
      <c r="F126" s="209" t="s">
        <v>6</v>
      </c>
      <c r="G126" s="209" t="s">
        <v>7</v>
      </c>
      <c r="H126" s="209" t="s">
        <v>2</v>
      </c>
      <c r="I126" s="209" t="s">
        <v>3</v>
      </c>
      <c r="J126" s="209" t="s">
        <v>8</v>
      </c>
      <c r="K126" s="209" t="s">
        <v>9</v>
      </c>
      <c r="L126" s="209" t="s">
        <v>1963</v>
      </c>
      <c r="M126" s="209" t="s">
        <v>1964</v>
      </c>
    </row>
    <row r="127" spans="1:13" ht="49.5" customHeight="1" thickTop="1" thickBot="1" x14ac:dyDescent="0.3">
      <c r="A127" s="289" t="s">
        <v>1953</v>
      </c>
      <c r="B127" s="289" t="s">
        <v>1948</v>
      </c>
      <c r="C127" s="289" t="s">
        <v>18</v>
      </c>
      <c r="D127" s="299">
        <v>2</v>
      </c>
      <c r="E127" s="299">
        <v>30</v>
      </c>
      <c r="F127" s="299">
        <v>3</v>
      </c>
      <c r="G127" s="299">
        <v>848</v>
      </c>
      <c r="H127" s="292">
        <v>378975878</v>
      </c>
      <c r="I127" s="292">
        <v>0</v>
      </c>
      <c r="J127" s="253" t="s">
        <v>203</v>
      </c>
      <c r="K127" s="291" t="s">
        <v>20</v>
      </c>
      <c r="L127" s="292">
        <v>912</v>
      </c>
      <c r="M127" s="292">
        <v>0</v>
      </c>
    </row>
    <row r="128" spans="1:13" ht="46.5" thickTop="1" thickBot="1" x14ac:dyDescent="0.3">
      <c r="A128" s="289" t="s">
        <v>1953</v>
      </c>
      <c r="B128" s="289" t="s">
        <v>1948</v>
      </c>
      <c r="C128" s="289" t="s">
        <v>53</v>
      </c>
      <c r="D128" s="299">
        <v>2</v>
      </c>
      <c r="E128" s="299">
        <v>30</v>
      </c>
      <c r="F128" s="299">
        <v>3</v>
      </c>
      <c r="G128" s="299">
        <v>520</v>
      </c>
      <c r="H128" s="292">
        <f>700000000-H133-H132-201634946</f>
        <v>282119242</v>
      </c>
      <c r="I128" s="299">
        <f>87336700+87336700+86575310</f>
        <v>261248710</v>
      </c>
      <c r="J128" s="254" t="s">
        <v>202</v>
      </c>
      <c r="K128" s="292" t="s">
        <v>55</v>
      </c>
      <c r="L128" s="292">
        <v>6</v>
      </c>
      <c r="M128" s="291">
        <v>3</v>
      </c>
    </row>
    <row r="129" spans="1:13" ht="46.5" thickTop="1" thickBot="1" x14ac:dyDescent="0.3">
      <c r="A129" s="289" t="s">
        <v>1953</v>
      </c>
      <c r="B129" s="289" t="s">
        <v>1948</v>
      </c>
      <c r="C129" s="289" t="s">
        <v>53</v>
      </c>
      <c r="D129" s="299">
        <v>2</v>
      </c>
      <c r="E129" s="299">
        <v>30</v>
      </c>
      <c r="F129" s="299">
        <v>3</v>
      </c>
      <c r="G129" s="299">
        <v>520</v>
      </c>
      <c r="H129" s="292">
        <v>56540000</v>
      </c>
      <c r="I129" s="292">
        <v>56540000</v>
      </c>
      <c r="J129" s="253" t="s">
        <v>201</v>
      </c>
      <c r="K129" s="291" t="s">
        <v>25</v>
      </c>
      <c r="L129" s="292">
        <v>1</v>
      </c>
      <c r="M129" s="292">
        <v>1</v>
      </c>
    </row>
    <row r="130" spans="1:13" s="37" customFormat="1" ht="46.5" thickTop="1" thickBot="1" x14ac:dyDescent="0.3">
      <c r="A130" s="289" t="s">
        <v>1953</v>
      </c>
      <c r="B130" s="289" t="s">
        <v>1948</v>
      </c>
      <c r="C130" s="289" t="s">
        <v>53</v>
      </c>
      <c r="D130" s="299">
        <v>2</v>
      </c>
      <c r="E130" s="299">
        <v>30</v>
      </c>
      <c r="F130" s="299">
        <v>3</v>
      </c>
      <c r="G130" s="299">
        <v>520</v>
      </c>
      <c r="H130" s="292">
        <v>15524000</v>
      </c>
      <c r="I130" s="292">
        <v>15524000</v>
      </c>
      <c r="J130" s="253" t="s">
        <v>200</v>
      </c>
      <c r="K130" s="291" t="s">
        <v>15</v>
      </c>
      <c r="L130" s="292">
        <v>1</v>
      </c>
      <c r="M130" s="292">
        <v>1</v>
      </c>
    </row>
    <row r="131" spans="1:13" ht="46.5" thickTop="1" thickBot="1" x14ac:dyDescent="0.3">
      <c r="A131" s="289" t="s">
        <v>1953</v>
      </c>
      <c r="B131" s="289" t="s">
        <v>1948</v>
      </c>
      <c r="C131" s="289" t="s">
        <v>53</v>
      </c>
      <c r="D131" s="299">
        <v>2</v>
      </c>
      <c r="E131" s="299">
        <v>30</v>
      </c>
      <c r="F131" s="299">
        <v>3</v>
      </c>
      <c r="G131" s="299">
        <v>520</v>
      </c>
      <c r="H131" s="292">
        <v>172030000</v>
      </c>
      <c r="I131" s="292">
        <f>13750000+12710000+57000000+83740000+4830000</f>
        <v>172030000</v>
      </c>
      <c r="J131" s="253" t="s">
        <v>199</v>
      </c>
      <c r="K131" s="291" t="s">
        <v>55</v>
      </c>
      <c r="L131" s="292">
        <v>7</v>
      </c>
      <c r="M131" s="292">
        <v>7</v>
      </c>
    </row>
    <row r="132" spans="1:13" ht="46.5" thickTop="1" thickBot="1" x14ac:dyDescent="0.3">
      <c r="A132" s="289" t="s">
        <v>1953</v>
      </c>
      <c r="B132" s="289" t="s">
        <v>1948</v>
      </c>
      <c r="C132" s="289" t="s">
        <v>53</v>
      </c>
      <c r="D132" s="299">
        <v>2</v>
      </c>
      <c r="E132" s="299">
        <v>30</v>
      </c>
      <c r="F132" s="299">
        <v>3</v>
      </c>
      <c r="G132" s="299">
        <v>520</v>
      </c>
      <c r="H132" s="292">
        <f>65729910+65729902+25930000</f>
        <v>157389812</v>
      </c>
      <c r="I132" s="292">
        <v>157389812</v>
      </c>
      <c r="J132" s="253" t="s">
        <v>198</v>
      </c>
      <c r="K132" s="291" t="s">
        <v>12</v>
      </c>
      <c r="L132" s="292">
        <v>9539</v>
      </c>
      <c r="M132" s="292">
        <v>9539</v>
      </c>
    </row>
    <row r="133" spans="1:13" ht="46.5" thickTop="1" thickBot="1" x14ac:dyDescent="0.3">
      <c r="A133" s="289" t="s">
        <v>1953</v>
      </c>
      <c r="B133" s="289" t="s">
        <v>1948</v>
      </c>
      <c r="C133" s="289" t="s">
        <v>53</v>
      </c>
      <c r="D133" s="299">
        <v>2</v>
      </c>
      <c r="E133" s="299">
        <v>30</v>
      </c>
      <c r="F133" s="299">
        <v>3</v>
      </c>
      <c r="G133" s="299">
        <v>520</v>
      </c>
      <c r="H133" s="292">
        <f>58856000</f>
        <v>58856000</v>
      </c>
      <c r="I133" s="292">
        <v>58856000</v>
      </c>
      <c r="J133" s="253" t="s">
        <v>197</v>
      </c>
      <c r="K133" s="291" t="s">
        <v>11</v>
      </c>
      <c r="L133" s="292">
        <v>900</v>
      </c>
      <c r="M133" s="292">
        <v>900</v>
      </c>
    </row>
    <row r="134" spans="1:13" ht="46.5" thickTop="1" thickBot="1" x14ac:dyDescent="0.3">
      <c r="A134" s="289" t="s">
        <v>1953</v>
      </c>
      <c r="B134" s="289" t="s">
        <v>1948</v>
      </c>
      <c r="C134" s="289" t="s">
        <v>53</v>
      </c>
      <c r="D134" s="299">
        <v>2</v>
      </c>
      <c r="E134" s="299">
        <v>30</v>
      </c>
      <c r="F134" s="299">
        <v>3</v>
      </c>
      <c r="G134" s="299">
        <v>520</v>
      </c>
      <c r="H134" s="292">
        <v>31818000</v>
      </c>
      <c r="I134" s="292">
        <f>17000000+14818000</f>
        <v>31818000</v>
      </c>
      <c r="J134" s="253" t="s">
        <v>196</v>
      </c>
      <c r="K134" s="262" t="s">
        <v>52</v>
      </c>
      <c r="L134" s="292">
        <v>3</v>
      </c>
      <c r="M134" s="292">
        <v>3</v>
      </c>
    </row>
    <row r="135" spans="1:13" ht="35.25" thickTop="1" thickBot="1" x14ac:dyDescent="0.3">
      <c r="A135" s="289" t="s">
        <v>1953</v>
      </c>
      <c r="B135" s="289" t="s">
        <v>1948</v>
      </c>
      <c r="C135" s="413" t="s">
        <v>105</v>
      </c>
      <c r="D135" s="299">
        <v>2</v>
      </c>
      <c r="E135" s="299">
        <v>30</v>
      </c>
      <c r="F135" s="299">
        <v>3</v>
      </c>
      <c r="G135" s="299">
        <v>530</v>
      </c>
      <c r="H135" s="292">
        <v>35000000</v>
      </c>
      <c r="I135" s="292">
        <v>16200000</v>
      </c>
      <c r="J135" s="253" t="s">
        <v>195</v>
      </c>
      <c r="K135" s="291" t="s">
        <v>44</v>
      </c>
      <c r="L135" s="292">
        <v>250</v>
      </c>
      <c r="M135" s="292">
        <v>180</v>
      </c>
    </row>
    <row r="136" spans="1:13" ht="35.25" thickTop="1" thickBot="1" x14ac:dyDescent="0.3">
      <c r="A136" s="289" t="s">
        <v>1953</v>
      </c>
      <c r="B136" s="289" t="s">
        <v>1948</v>
      </c>
      <c r="C136" s="413" t="s">
        <v>105</v>
      </c>
      <c r="D136" s="299">
        <v>2</v>
      </c>
      <c r="E136" s="299">
        <v>30</v>
      </c>
      <c r="F136" s="299">
        <v>3</v>
      </c>
      <c r="G136" s="299">
        <v>530</v>
      </c>
      <c r="H136" s="292">
        <v>34200000</v>
      </c>
      <c r="I136" s="292">
        <v>27000000</v>
      </c>
      <c r="J136" s="253" t="s">
        <v>194</v>
      </c>
      <c r="K136" s="291" t="s">
        <v>193</v>
      </c>
      <c r="L136" s="292">
        <v>180</v>
      </c>
      <c r="M136" s="292">
        <v>180</v>
      </c>
    </row>
    <row r="137" spans="1:13" ht="35.25" thickTop="1" thickBot="1" x14ac:dyDescent="0.3">
      <c r="A137" s="289" t="s">
        <v>1953</v>
      </c>
      <c r="B137" s="289" t="s">
        <v>1948</v>
      </c>
      <c r="C137" s="413" t="s">
        <v>105</v>
      </c>
      <c r="D137" s="299">
        <v>2</v>
      </c>
      <c r="E137" s="299">
        <v>30</v>
      </c>
      <c r="F137" s="299">
        <v>3</v>
      </c>
      <c r="G137" s="299">
        <v>530</v>
      </c>
      <c r="H137" s="292">
        <v>10800000</v>
      </c>
      <c r="I137" s="292">
        <v>9500000</v>
      </c>
      <c r="J137" s="253" t="s">
        <v>192</v>
      </c>
      <c r="K137" s="291" t="s">
        <v>66</v>
      </c>
      <c r="L137" s="292">
        <v>10</v>
      </c>
      <c r="M137" s="292">
        <v>10</v>
      </c>
    </row>
    <row r="138" spans="1:13" ht="35.25" thickTop="1" thickBot="1" x14ac:dyDescent="0.3">
      <c r="A138" s="289" t="s">
        <v>1953</v>
      </c>
      <c r="B138" s="289" t="s">
        <v>1948</v>
      </c>
      <c r="C138" s="413" t="s">
        <v>105</v>
      </c>
      <c r="D138" s="299">
        <v>2</v>
      </c>
      <c r="E138" s="299">
        <v>30</v>
      </c>
      <c r="F138" s="299">
        <v>3</v>
      </c>
      <c r="G138" s="299">
        <v>530</v>
      </c>
      <c r="H138" s="292">
        <v>16000000</v>
      </c>
      <c r="I138" s="292">
        <v>12000000</v>
      </c>
      <c r="J138" s="253" t="s">
        <v>191</v>
      </c>
      <c r="K138" s="291" t="s">
        <v>190</v>
      </c>
      <c r="L138" s="292">
        <v>20</v>
      </c>
      <c r="M138" s="292">
        <v>20</v>
      </c>
    </row>
    <row r="139" spans="1:13" ht="35.25" thickTop="1" thickBot="1" x14ac:dyDescent="0.3">
      <c r="A139" s="289" t="s">
        <v>1953</v>
      </c>
      <c r="B139" s="289" t="s">
        <v>1948</v>
      </c>
      <c r="C139" s="413" t="s">
        <v>105</v>
      </c>
      <c r="D139" s="299">
        <v>2</v>
      </c>
      <c r="E139" s="299">
        <v>30</v>
      </c>
      <c r="F139" s="299">
        <v>3</v>
      </c>
      <c r="G139" s="299">
        <v>530</v>
      </c>
      <c r="H139" s="292">
        <v>14000000</v>
      </c>
      <c r="I139" s="292">
        <v>10000000</v>
      </c>
      <c r="J139" s="253" t="s">
        <v>189</v>
      </c>
      <c r="K139" s="291" t="s">
        <v>188</v>
      </c>
      <c r="L139" s="292">
        <v>20</v>
      </c>
      <c r="M139" s="292">
        <v>20</v>
      </c>
    </row>
    <row r="140" spans="1:13" ht="16.5" thickTop="1" thickBot="1" x14ac:dyDescent="0.3">
      <c r="A140" s="244"/>
      <c r="B140" s="244"/>
      <c r="C140" s="245"/>
      <c r="D140" s="247"/>
      <c r="E140" s="247"/>
      <c r="F140" s="247"/>
      <c r="G140" s="247"/>
      <c r="H140" s="249"/>
      <c r="I140" s="249"/>
      <c r="J140" s="247"/>
      <c r="K140" s="247"/>
      <c r="L140" s="249"/>
      <c r="M140" s="249"/>
    </row>
    <row r="141" spans="1:13" ht="30" customHeight="1" thickTop="1" thickBot="1" x14ac:dyDescent="0.3">
      <c r="A141" s="639" t="s">
        <v>0</v>
      </c>
      <c r="B141" s="639" t="s">
        <v>1</v>
      </c>
      <c r="C141" s="639" t="s">
        <v>2569</v>
      </c>
      <c r="D141" s="636" t="s">
        <v>1961</v>
      </c>
      <c r="E141" s="637"/>
      <c r="F141" s="637"/>
      <c r="G141" s="638"/>
      <c r="H141" s="636" t="s">
        <v>3</v>
      </c>
      <c r="I141" s="637"/>
      <c r="J141" s="636" t="s">
        <v>1962</v>
      </c>
      <c r="K141" s="637"/>
      <c r="L141" s="637"/>
      <c r="M141" s="638"/>
    </row>
    <row r="142" spans="1:13" ht="34.5" customHeight="1" thickTop="1" thickBot="1" x14ac:dyDescent="0.3">
      <c r="A142" s="640"/>
      <c r="B142" s="640"/>
      <c r="C142" s="640"/>
      <c r="D142" s="209" t="s">
        <v>4</v>
      </c>
      <c r="E142" s="209" t="s">
        <v>5</v>
      </c>
      <c r="F142" s="209" t="s">
        <v>6</v>
      </c>
      <c r="G142" s="209" t="s">
        <v>7</v>
      </c>
      <c r="H142" s="209" t="s">
        <v>2</v>
      </c>
      <c r="I142" s="209" t="s">
        <v>3</v>
      </c>
      <c r="J142" s="209" t="s">
        <v>8</v>
      </c>
      <c r="K142" s="209" t="s">
        <v>9</v>
      </c>
      <c r="L142" s="209" t="s">
        <v>1963</v>
      </c>
      <c r="M142" s="209" t="s">
        <v>1964</v>
      </c>
    </row>
    <row r="143" spans="1:13" ht="35.25" thickTop="1" thickBot="1" x14ac:dyDescent="0.3">
      <c r="A143" s="289" t="s">
        <v>1954</v>
      </c>
      <c r="B143" s="289" t="s">
        <v>1943</v>
      </c>
      <c r="C143" s="289" t="s">
        <v>18</v>
      </c>
      <c r="D143" s="299">
        <v>2</v>
      </c>
      <c r="E143" s="299">
        <v>30</v>
      </c>
      <c r="F143" s="299">
        <v>3</v>
      </c>
      <c r="G143" s="299">
        <v>848</v>
      </c>
      <c r="H143" s="299">
        <v>375460513</v>
      </c>
      <c r="I143" s="299">
        <v>172578000</v>
      </c>
      <c r="J143" s="253" t="s">
        <v>187</v>
      </c>
      <c r="K143" s="291" t="s">
        <v>20</v>
      </c>
      <c r="L143" s="291">
        <v>405</v>
      </c>
      <c r="M143" s="293">
        <v>185</v>
      </c>
    </row>
    <row r="144" spans="1:13" ht="30" customHeight="1" thickTop="1" thickBot="1" x14ac:dyDescent="0.3">
      <c r="A144" s="289" t="s">
        <v>1954</v>
      </c>
      <c r="B144" s="289" t="s">
        <v>1943</v>
      </c>
      <c r="C144" s="654" t="s">
        <v>53</v>
      </c>
      <c r="D144" s="299">
        <v>3</v>
      </c>
      <c r="E144" s="299">
        <v>30</v>
      </c>
      <c r="F144" s="299">
        <v>3</v>
      </c>
      <c r="G144" s="299">
        <v>520</v>
      </c>
      <c r="H144" s="299">
        <v>644832501</v>
      </c>
      <c r="I144" s="299">
        <v>477172345</v>
      </c>
      <c r="J144" s="253" t="s">
        <v>186</v>
      </c>
      <c r="K144" s="291" t="s">
        <v>55</v>
      </c>
      <c r="L144" s="291">
        <v>5</v>
      </c>
      <c r="M144" s="293">
        <v>4</v>
      </c>
    </row>
    <row r="145" spans="1:13" ht="30" customHeight="1" thickTop="1" thickBot="1" x14ac:dyDescent="0.3">
      <c r="A145" s="289" t="s">
        <v>1954</v>
      </c>
      <c r="B145" s="289" t="s">
        <v>1943</v>
      </c>
      <c r="C145" s="654"/>
      <c r="D145" s="299">
        <v>3</v>
      </c>
      <c r="E145" s="299">
        <v>30</v>
      </c>
      <c r="F145" s="299">
        <v>3</v>
      </c>
      <c r="G145" s="299">
        <v>520</v>
      </c>
      <c r="H145" s="299">
        <v>254974253</v>
      </c>
      <c r="I145" s="299">
        <v>0</v>
      </c>
      <c r="J145" s="253" t="s">
        <v>185</v>
      </c>
      <c r="K145" s="291" t="s">
        <v>25</v>
      </c>
      <c r="L145" s="291">
        <v>1</v>
      </c>
      <c r="M145" s="293">
        <v>0</v>
      </c>
    </row>
    <row r="146" spans="1:13" ht="47.25" customHeight="1" thickTop="1" thickBot="1" x14ac:dyDescent="0.3">
      <c r="A146" s="289" t="s">
        <v>1954</v>
      </c>
      <c r="B146" s="289" t="s">
        <v>1943</v>
      </c>
      <c r="C146" s="413" t="s">
        <v>90</v>
      </c>
      <c r="D146" s="299">
        <v>3</v>
      </c>
      <c r="E146" s="299">
        <v>30</v>
      </c>
      <c r="F146" s="299">
        <v>3</v>
      </c>
      <c r="G146" s="299">
        <v>520</v>
      </c>
      <c r="H146" s="299">
        <v>0</v>
      </c>
      <c r="I146" s="299">
        <v>0</v>
      </c>
      <c r="J146" s="253" t="s">
        <v>184</v>
      </c>
      <c r="K146" s="291" t="s">
        <v>81</v>
      </c>
      <c r="L146" s="291">
        <v>50</v>
      </c>
      <c r="M146" s="293">
        <v>0</v>
      </c>
    </row>
    <row r="147" spans="1:13" ht="16.5" thickTop="1" thickBot="1" x14ac:dyDescent="0.3">
      <c r="A147" s="255"/>
      <c r="B147" s="244"/>
      <c r="C147" s="245"/>
      <c r="D147" s="247"/>
      <c r="E147" s="247"/>
      <c r="F147" s="247"/>
      <c r="G147" s="247"/>
      <c r="H147" s="247"/>
      <c r="I147" s="247"/>
      <c r="J147" s="247"/>
      <c r="K147" s="247"/>
      <c r="L147" s="247"/>
      <c r="M147" s="250"/>
    </row>
    <row r="148" spans="1:13" ht="30" customHeight="1" thickTop="1" thickBot="1" x14ac:dyDescent="0.3">
      <c r="A148" s="639" t="s">
        <v>0</v>
      </c>
      <c r="B148" s="639" t="s">
        <v>1</v>
      </c>
      <c r="C148" s="639" t="s">
        <v>2569</v>
      </c>
      <c r="D148" s="636" t="s">
        <v>1961</v>
      </c>
      <c r="E148" s="637"/>
      <c r="F148" s="637"/>
      <c r="G148" s="638"/>
      <c r="H148" s="636" t="s">
        <v>3</v>
      </c>
      <c r="I148" s="637"/>
      <c r="J148" s="636" t="s">
        <v>1962</v>
      </c>
      <c r="K148" s="637"/>
      <c r="L148" s="637"/>
      <c r="M148" s="638"/>
    </row>
    <row r="149" spans="1:13" ht="34.5" customHeight="1" thickTop="1" thickBot="1" x14ac:dyDescent="0.3">
      <c r="A149" s="640"/>
      <c r="B149" s="640"/>
      <c r="C149" s="640"/>
      <c r="D149" s="209" t="s">
        <v>4</v>
      </c>
      <c r="E149" s="209" t="s">
        <v>5</v>
      </c>
      <c r="F149" s="209" t="s">
        <v>6</v>
      </c>
      <c r="G149" s="209" t="s">
        <v>7</v>
      </c>
      <c r="H149" s="209" t="s">
        <v>2</v>
      </c>
      <c r="I149" s="209" t="s">
        <v>3</v>
      </c>
      <c r="J149" s="209" t="s">
        <v>8</v>
      </c>
      <c r="K149" s="209" t="s">
        <v>9</v>
      </c>
      <c r="L149" s="209" t="s">
        <v>1963</v>
      </c>
      <c r="M149" s="209" t="s">
        <v>1964</v>
      </c>
    </row>
    <row r="150" spans="1:13" ht="48" customHeight="1" thickTop="1" thickBot="1" x14ac:dyDescent="0.3">
      <c r="A150" s="289" t="s">
        <v>2498</v>
      </c>
      <c r="B150" s="289" t="s">
        <v>1943</v>
      </c>
      <c r="C150" s="289" t="s">
        <v>18</v>
      </c>
      <c r="D150" s="299">
        <v>2</v>
      </c>
      <c r="E150" s="299">
        <v>30</v>
      </c>
      <c r="F150" s="299">
        <v>3</v>
      </c>
      <c r="G150" s="299">
        <v>848</v>
      </c>
      <c r="H150" s="292">
        <v>527478144</v>
      </c>
      <c r="I150" s="292">
        <v>524873050</v>
      </c>
      <c r="J150" s="253" t="s">
        <v>183</v>
      </c>
      <c r="K150" s="291" t="s">
        <v>20</v>
      </c>
      <c r="L150" s="292">
        <v>198</v>
      </c>
      <c r="M150" s="292">
        <v>198</v>
      </c>
    </row>
    <row r="151" spans="1:13" ht="48" customHeight="1" thickTop="1" thickBot="1" x14ac:dyDescent="0.3">
      <c r="A151" s="625" t="s">
        <v>2498</v>
      </c>
      <c r="B151" s="289" t="s">
        <v>1943</v>
      </c>
      <c r="C151" s="289" t="s">
        <v>179</v>
      </c>
      <c r="D151" s="299">
        <v>2</v>
      </c>
      <c r="E151" s="299">
        <v>30</v>
      </c>
      <c r="F151" s="299">
        <v>3</v>
      </c>
      <c r="G151" s="299">
        <v>520</v>
      </c>
      <c r="H151" s="292">
        <v>885632334</v>
      </c>
      <c r="I151" s="292">
        <v>380785937</v>
      </c>
      <c r="J151" s="253" t="s">
        <v>182</v>
      </c>
      <c r="K151" s="291" t="s">
        <v>55</v>
      </c>
      <c r="L151" s="292">
        <v>10</v>
      </c>
      <c r="M151" s="292">
        <v>4</v>
      </c>
    </row>
    <row r="152" spans="1:13" ht="48" customHeight="1" thickTop="1" thickBot="1" x14ac:dyDescent="0.3">
      <c r="A152" s="625" t="s">
        <v>2498</v>
      </c>
      <c r="B152" s="289" t="s">
        <v>1943</v>
      </c>
      <c r="C152" s="289" t="s">
        <v>179</v>
      </c>
      <c r="D152" s="299">
        <v>2</v>
      </c>
      <c r="E152" s="299">
        <v>30</v>
      </c>
      <c r="F152" s="299">
        <v>3</v>
      </c>
      <c r="G152" s="299">
        <v>540</v>
      </c>
      <c r="H152" s="292">
        <v>71650000</v>
      </c>
      <c r="I152" s="292">
        <v>71650000</v>
      </c>
      <c r="J152" s="253" t="s">
        <v>181</v>
      </c>
      <c r="K152" s="291" t="s">
        <v>180</v>
      </c>
      <c r="L152" s="292">
        <v>20</v>
      </c>
      <c r="M152" s="292">
        <v>20</v>
      </c>
    </row>
    <row r="153" spans="1:13" ht="48" customHeight="1" thickTop="1" thickBot="1" x14ac:dyDescent="0.3">
      <c r="A153" s="625" t="s">
        <v>2498</v>
      </c>
      <c r="B153" s="289" t="s">
        <v>1943</v>
      </c>
      <c r="C153" s="289" t="s">
        <v>179</v>
      </c>
      <c r="D153" s="299">
        <v>2</v>
      </c>
      <c r="E153" s="299">
        <v>30</v>
      </c>
      <c r="F153" s="299">
        <v>3</v>
      </c>
      <c r="G153" s="299">
        <v>590</v>
      </c>
      <c r="H153" s="292">
        <v>273500000</v>
      </c>
      <c r="I153" s="292">
        <v>55652000</v>
      </c>
      <c r="J153" s="253" t="s">
        <v>178</v>
      </c>
      <c r="K153" s="291" t="s">
        <v>55</v>
      </c>
      <c r="L153" s="292">
        <v>20</v>
      </c>
      <c r="M153" s="292">
        <v>4</v>
      </c>
    </row>
    <row r="154" spans="1:13" ht="16.5" thickTop="1" thickBot="1" x14ac:dyDescent="0.3">
      <c r="A154" s="244"/>
      <c r="B154" s="244"/>
      <c r="C154" s="245"/>
      <c r="D154" s="247"/>
      <c r="E154" s="247"/>
      <c r="F154" s="247"/>
      <c r="G154" s="247"/>
      <c r="H154" s="249"/>
      <c r="I154" s="249"/>
      <c r="J154" s="247"/>
      <c r="K154" s="247"/>
      <c r="L154" s="249"/>
      <c r="M154" s="249"/>
    </row>
    <row r="155" spans="1:13" ht="30" customHeight="1" thickTop="1" thickBot="1" x14ac:dyDescent="0.3">
      <c r="A155" s="639" t="s">
        <v>0</v>
      </c>
      <c r="B155" s="639" t="s">
        <v>1</v>
      </c>
      <c r="C155" s="639" t="s">
        <v>2569</v>
      </c>
      <c r="D155" s="636" t="s">
        <v>1961</v>
      </c>
      <c r="E155" s="637"/>
      <c r="F155" s="637"/>
      <c r="G155" s="638"/>
      <c r="H155" s="636" t="s">
        <v>3</v>
      </c>
      <c r="I155" s="637"/>
      <c r="J155" s="636" t="s">
        <v>1962</v>
      </c>
      <c r="K155" s="637"/>
      <c r="L155" s="637"/>
      <c r="M155" s="638"/>
    </row>
    <row r="156" spans="1:13" ht="34.5" customHeight="1" thickTop="1" thickBot="1" x14ac:dyDescent="0.3">
      <c r="A156" s="640"/>
      <c r="B156" s="640"/>
      <c r="C156" s="640"/>
      <c r="D156" s="209" t="s">
        <v>4</v>
      </c>
      <c r="E156" s="209" t="s">
        <v>5</v>
      </c>
      <c r="F156" s="209" t="s">
        <v>6</v>
      </c>
      <c r="G156" s="209" t="s">
        <v>7</v>
      </c>
      <c r="H156" s="209" t="s">
        <v>2</v>
      </c>
      <c r="I156" s="209" t="s">
        <v>3</v>
      </c>
      <c r="J156" s="209" t="s">
        <v>8</v>
      </c>
      <c r="K156" s="209" t="s">
        <v>9</v>
      </c>
      <c r="L156" s="209" t="s">
        <v>1963</v>
      </c>
      <c r="M156" s="209" t="s">
        <v>1964</v>
      </c>
    </row>
    <row r="157" spans="1:13" ht="30.75" customHeight="1" thickTop="1" thickBot="1" x14ac:dyDescent="0.3">
      <c r="A157" s="651" t="s">
        <v>1956</v>
      </c>
      <c r="B157" s="651" t="s">
        <v>1955</v>
      </c>
      <c r="C157" s="651" t="s">
        <v>18</v>
      </c>
      <c r="D157" s="659">
        <v>3</v>
      </c>
      <c r="E157" s="659">
        <v>30</v>
      </c>
      <c r="F157" s="659">
        <v>3</v>
      </c>
      <c r="G157" s="659">
        <v>848</v>
      </c>
      <c r="H157" s="657">
        <v>544405035</v>
      </c>
      <c r="I157" s="657">
        <f>102000000+110000000</f>
        <v>212000000</v>
      </c>
      <c r="J157" s="658" t="s">
        <v>175</v>
      </c>
      <c r="K157" s="299" t="s">
        <v>114</v>
      </c>
      <c r="L157" s="292">
        <v>1400</v>
      </c>
      <c r="M157" s="292">
        <v>546</v>
      </c>
    </row>
    <row r="158" spans="1:13" ht="30.75" customHeight="1" thickTop="1" thickBot="1" x14ac:dyDescent="0.3">
      <c r="A158" s="653"/>
      <c r="B158" s="653"/>
      <c r="C158" s="653"/>
      <c r="D158" s="659"/>
      <c r="E158" s="659"/>
      <c r="F158" s="659"/>
      <c r="G158" s="659"/>
      <c r="H158" s="657"/>
      <c r="I158" s="657"/>
      <c r="J158" s="658"/>
      <c r="K158" s="299" t="s">
        <v>75</v>
      </c>
      <c r="L158" s="292">
        <f>28694+7600</f>
        <v>36294</v>
      </c>
      <c r="M158" s="292">
        <v>14133</v>
      </c>
    </row>
    <row r="159" spans="1:13" ht="46.5" thickTop="1" thickBot="1" x14ac:dyDescent="0.3">
      <c r="A159" s="289" t="s">
        <v>1956</v>
      </c>
      <c r="B159" s="289" t="s">
        <v>1955</v>
      </c>
      <c r="C159" s="289" t="s">
        <v>53</v>
      </c>
      <c r="D159" s="299">
        <v>3</v>
      </c>
      <c r="E159" s="299">
        <v>30</v>
      </c>
      <c r="F159" s="299">
        <v>3</v>
      </c>
      <c r="G159" s="299">
        <v>520</v>
      </c>
      <c r="H159" s="292">
        <f>290000000-100000000-40000000</f>
        <v>150000000</v>
      </c>
      <c r="I159" s="292">
        <f>133000000+10000000</f>
        <v>143000000</v>
      </c>
      <c r="J159" s="253" t="s">
        <v>1984</v>
      </c>
      <c r="K159" s="291" t="s">
        <v>55</v>
      </c>
      <c r="L159" s="292">
        <v>2</v>
      </c>
      <c r="M159" s="292">
        <v>2</v>
      </c>
    </row>
    <row r="160" spans="1:13" ht="48" customHeight="1" thickTop="1" thickBot="1" x14ac:dyDescent="0.3">
      <c r="A160" s="289" t="s">
        <v>1956</v>
      </c>
      <c r="B160" s="289" t="s">
        <v>1955</v>
      </c>
      <c r="C160" s="289" t="s">
        <v>53</v>
      </c>
      <c r="D160" s="299">
        <v>3</v>
      </c>
      <c r="E160" s="299">
        <v>30</v>
      </c>
      <c r="F160" s="299">
        <v>3</v>
      </c>
      <c r="G160" s="299">
        <v>520</v>
      </c>
      <c r="H160" s="292">
        <f>405000000+53403008+100000000+202000000+40000000+10000000</f>
        <v>810403008</v>
      </c>
      <c r="I160" s="292">
        <f>259300000+54000000+34000000+18600000+25000000+22000000+23000000+14000000+15000000+15000000+5000000+54000000+88040000+65000000+117000000</f>
        <v>808940000</v>
      </c>
      <c r="J160" s="253" t="s">
        <v>1970</v>
      </c>
      <c r="K160" s="291" t="s">
        <v>55</v>
      </c>
      <c r="L160" s="292">
        <v>16</v>
      </c>
      <c r="M160" s="292">
        <v>16</v>
      </c>
    </row>
    <row r="161" spans="1:13" ht="48" customHeight="1" thickTop="1" thickBot="1" x14ac:dyDescent="0.3">
      <c r="A161" s="289" t="s">
        <v>1956</v>
      </c>
      <c r="B161" s="289" t="s">
        <v>1955</v>
      </c>
      <c r="C161" s="289" t="s">
        <v>53</v>
      </c>
      <c r="D161" s="299">
        <v>3</v>
      </c>
      <c r="E161" s="299">
        <v>30</v>
      </c>
      <c r="F161" s="299">
        <v>3</v>
      </c>
      <c r="G161" s="299">
        <v>520</v>
      </c>
      <c r="H161" s="292">
        <f>65700327-10000000</f>
        <v>55700327</v>
      </c>
      <c r="I161" s="292">
        <v>53980000</v>
      </c>
      <c r="J161" s="253" t="s">
        <v>1971</v>
      </c>
      <c r="K161" s="291" t="s">
        <v>25</v>
      </c>
      <c r="L161" s="292">
        <v>1</v>
      </c>
      <c r="M161" s="292">
        <v>1</v>
      </c>
    </row>
    <row r="162" spans="1:13" ht="48" customHeight="1" thickTop="1" thickBot="1" x14ac:dyDescent="0.3">
      <c r="A162" s="289" t="s">
        <v>1956</v>
      </c>
      <c r="B162" s="289" t="s">
        <v>1955</v>
      </c>
      <c r="C162" s="289" t="s">
        <v>53</v>
      </c>
      <c r="D162" s="299">
        <v>3</v>
      </c>
      <c r="E162" s="299">
        <v>30</v>
      </c>
      <c r="F162" s="299">
        <v>3</v>
      </c>
      <c r="G162" s="299">
        <v>520</v>
      </c>
      <c r="H162" s="292">
        <v>190175082</v>
      </c>
      <c r="I162" s="292">
        <f>180800000+7500000</f>
        <v>188300000</v>
      </c>
      <c r="J162" s="253" t="s">
        <v>177</v>
      </c>
      <c r="K162" s="291" t="s">
        <v>11</v>
      </c>
      <c r="L162" s="292">
        <v>13115</v>
      </c>
      <c r="M162" s="292">
        <v>12986</v>
      </c>
    </row>
    <row r="163" spans="1:13" ht="48" customHeight="1" thickTop="1" thickBot="1" x14ac:dyDescent="0.3">
      <c r="A163" s="289" t="s">
        <v>1956</v>
      </c>
      <c r="B163" s="289" t="s">
        <v>1955</v>
      </c>
      <c r="C163" s="289" t="s">
        <v>53</v>
      </c>
      <c r="D163" s="299">
        <v>3</v>
      </c>
      <c r="E163" s="299">
        <v>30</v>
      </c>
      <c r="F163" s="299">
        <v>3</v>
      </c>
      <c r="G163" s="299">
        <v>520</v>
      </c>
      <c r="H163" s="292">
        <v>64000000</v>
      </c>
      <c r="I163" s="292">
        <v>64000000</v>
      </c>
      <c r="J163" s="253" t="s">
        <v>176</v>
      </c>
      <c r="K163" s="291" t="s">
        <v>12</v>
      </c>
      <c r="L163" s="292">
        <v>800</v>
      </c>
      <c r="M163" s="292">
        <v>800</v>
      </c>
    </row>
    <row r="164" spans="1:13" ht="16.5" thickTop="1" thickBot="1" x14ac:dyDescent="0.3">
      <c r="A164" s="244"/>
      <c r="B164" s="244"/>
      <c r="C164" s="245"/>
      <c r="D164" s="247"/>
      <c r="E164" s="247"/>
      <c r="F164" s="247"/>
      <c r="G164" s="247"/>
      <c r="H164" s="249"/>
      <c r="I164" s="249"/>
      <c r="J164" s="247"/>
      <c r="K164" s="247"/>
      <c r="L164" s="249"/>
      <c r="M164" s="249"/>
    </row>
    <row r="165" spans="1:13" ht="29.25" customHeight="1" thickTop="1" thickBot="1" x14ac:dyDescent="0.3">
      <c r="A165" s="639" t="s">
        <v>0</v>
      </c>
      <c r="B165" s="639" t="s">
        <v>1</v>
      </c>
      <c r="C165" s="639" t="s">
        <v>2569</v>
      </c>
      <c r="D165" s="636" t="s">
        <v>1961</v>
      </c>
      <c r="E165" s="637"/>
      <c r="F165" s="637"/>
      <c r="G165" s="638"/>
      <c r="H165" s="636" t="s">
        <v>3</v>
      </c>
      <c r="I165" s="637"/>
      <c r="J165" s="636" t="s">
        <v>1962</v>
      </c>
      <c r="K165" s="637"/>
      <c r="L165" s="637"/>
      <c r="M165" s="638"/>
    </row>
    <row r="166" spans="1:13" ht="34.5" customHeight="1" thickTop="1" thickBot="1" x14ac:dyDescent="0.3">
      <c r="A166" s="640"/>
      <c r="B166" s="640"/>
      <c r="C166" s="640"/>
      <c r="D166" s="209" t="s">
        <v>4</v>
      </c>
      <c r="E166" s="209" t="s">
        <v>5</v>
      </c>
      <c r="F166" s="209" t="s">
        <v>6</v>
      </c>
      <c r="G166" s="209" t="s">
        <v>7</v>
      </c>
      <c r="H166" s="209" t="s">
        <v>2</v>
      </c>
      <c r="I166" s="209" t="s">
        <v>3</v>
      </c>
      <c r="J166" s="209" t="s">
        <v>8</v>
      </c>
      <c r="K166" s="209" t="s">
        <v>9</v>
      </c>
      <c r="L166" s="209" t="s">
        <v>1963</v>
      </c>
      <c r="M166" s="209" t="s">
        <v>1964</v>
      </c>
    </row>
    <row r="167" spans="1:13" ht="46.5" thickTop="1" thickBot="1" x14ac:dyDescent="0.3">
      <c r="A167" s="289" t="s">
        <v>1957</v>
      </c>
      <c r="B167" s="289" t="s">
        <v>1955</v>
      </c>
      <c r="C167" s="289" t="s">
        <v>18</v>
      </c>
      <c r="D167" s="299">
        <v>3</v>
      </c>
      <c r="E167" s="299">
        <v>30</v>
      </c>
      <c r="F167" s="299">
        <v>3</v>
      </c>
      <c r="G167" s="299">
        <v>848</v>
      </c>
      <c r="H167" s="292">
        <v>450587502</v>
      </c>
      <c r="I167" s="292">
        <v>336015360</v>
      </c>
      <c r="J167" s="253" t="s">
        <v>172</v>
      </c>
      <c r="K167" s="291" t="s">
        <v>20</v>
      </c>
      <c r="L167" s="292">
        <v>300</v>
      </c>
      <c r="M167" s="292">
        <v>225</v>
      </c>
    </row>
    <row r="168" spans="1:13" ht="48.75" customHeight="1" thickTop="1" thickBot="1" x14ac:dyDescent="0.3">
      <c r="A168" s="289" t="s">
        <v>1957</v>
      </c>
      <c r="B168" s="289" t="s">
        <v>1955</v>
      </c>
      <c r="C168" s="289" t="s">
        <v>53</v>
      </c>
      <c r="D168" s="299">
        <v>3</v>
      </c>
      <c r="E168" s="299">
        <v>30</v>
      </c>
      <c r="F168" s="299">
        <v>3</v>
      </c>
      <c r="G168" s="299">
        <v>520</v>
      </c>
      <c r="H168" s="292">
        <v>584370838</v>
      </c>
      <c r="I168" s="292">
        <v>460000000</v>
      </c>
      <c r="J168" s="253" t="s">
        <v>171</v>
      </c>
      <c r="K168" s="291" t="s">
        <v>55</v>
      </c>
      <c r="L168" s="292">
        <v>8</v>
      </c>
      <c r="M168" s="292">
        <v>6</v>
      </c>
    </row>
    <row r="169" spans="1:13" ht="48.75" customHeight="1" thickTop="1" thickBot="1" x14ac:dyDescent="0.3">
      <c r="A169" s="289" t="s">
        <v>1957</v>
      </c>
      <c r="B169" s="289" t="s">
        <v>1955</v>
      </c>
      <c r="C169" s="289" t="s">
        <v>53</v>
      </c>
      <c r="D169" s="299">
        <v>3</v>
      </c>
      <c r="E169" s="299">
        <v>30</v>
      </c>
      <c r="F169" s="299">
        <v>3</v>
      </c>
      <c r="G169" s="299">
        <v>520</v>
      </c>
      <c r="H169" s="292">
        <v>150000000</v>
      </c>
      <c r="I169" s="292">
        <v>0</v>
      </c>
      <c r="J169" s="253" t="s">
        <v>170</v>
      </c>
      <c r="K169" s="291" t="s">
        <v>25</v>
      </c>
      <c r="L169" s="292">
        <v>4</v>
      </c>
      <c r="M169" s="292">
        <v>0</v>
      </c>
    </row>
    <row r="170" spans="1:13" ht="48.75" customHeight="1" thickTop="1" thickBot="1" x14ac:dyDescent="0.3">
      <c r="A170" s="289" t="s">
        <v>1957</v>
      </c>
      <c r="B170" s="289" t="s">
        <v>1955</v>
      </c>
      <c r="C170" s="289" t="s">
        <v>53</v>
      </c>
      <c r="D170" s="299">
        <v>3</v>
      </c>
      <c r="E170" s="299">
        <v>30</v>
      </c>
      <c r="F170" s="299">
        <v>3</v>
      </c>
      <c r="G170" s="299">
        <v>540</v>
      </c>
      <c r="H170" s="292">
        <v>20000000</v>
      </c>
      <c r="I170" s="292">
        <v>18750000</v>
      </c>
      <c r="J170" s="253" t="s">
        <v>169</v>
      </c>
      <c r="K170" s="291" t="s">
        <v>46</v>
      </c>
      <c r="L170" s="292">
        <v>160</v>
      </c>
      <c r="M170" s="292">
        <v>150</v>
      </c>
    </row>
    <row r="171" spans="1:13" ht="48.75" customHeight="1" thickTop="1" thickBot="1" x14ac:dyDescent="0.3">
      <c r="A171" s="289" t="s">
        <v>1957</v>
      </c>
      <c r="B171" s="289" t="s">
        <v>1955</v>
      </c>
      <c r="C171" s="289" t="s">
        <v>53</v>
      </c>
      <c r="D171" s="299">
        <v>3</v>
      </c>
      <c r="E171" s="299">
        <v>30</v>
      </c>
      <c r="F171" s="299">
        <v>3</v>
      </c>
      <c r="G171" s="299">
        <v>580</v>
      </c>
      <c r="H171" s="292">
        <v>15000000</v>
      </c>
      <c r="I171" s="292">
        <v>12000000</v>
      </c>
      <c r="J171" s="253" t="s">
        <v>168</v>
      </c>
      <c r="K171" s="291" t="s">
        <v>72</v>
      </c>
      <c r="L171" s="292">
        <v>10</v>
      </c>
      <c r="M171" s="292">
        <v>8</v>
      </c>
    </row>
    <row r="172" spans="1:13" ht="48.75" customHeight="1" thickTop="1" thickBot="1" x14ac:dyDescent="0.3">
      <c r="A172" s="289" t="s">
        <v>1957</v>
      </c>
      <c r="B172" s="289" t="s">
        <v>1955</v>
      </c>
      <c r="C172" s="289" t="s">
        <v>53</v>
      </c>
      <c r="D172" s="299">
        <v>3</v>
      </c>
      <c r="E172" s="299">
        <v>30</v>
      </c>
      <c r="F172" s="299">
        <v>3</v>
      </c>
      <c r="G172" s="299">
        <v>590</v>
      </c>
      <c r="H172" s="292">
        <v>162000000</v>
      </c>
      <c r="I172" s="292">
        <v>161611680</v>
      </c>
      <c r="J172" s="253" t="s">
        <v>167</v>
      </c>
      <c r="K172" s="291" t="s">
        <v>55</v>
      </c>
      <c r="L172" s="292">
        <v>10</v>
      </c>
      <c r="M172" s="292">
        <v>10</v>
      </c>
    </row>
    <row r="173" spans="1:13" ht="48.75" customHeight="1" thickTop="1" thickBot="1" x14ac:dyDescent="0.3">
      <c r="A173" s="289" t="s">
        <v>1957</v>
      </c>
      <c r="B173" s="289" t="s">
        <v>1955</v>
      </c>
      <c r="C173" s="289" t="s">
        <v>53</v>
      </c>
      <c r="D173" s="299">
        <v>2</v>
      </c>
      <c r="E173" s="299">
        <v>30</v>
      </c>
      <c r="F173" s="299">
        <v>3</v>
      </c>
      <c r="G173" s="299">
        <v>980</v>
      </c>
      <c r="H173" s="292">
        <v>120000000</v>
      </c>
      <c r="I173" s="292">
        <v>50000000</v>
      </c>
      <c r="J173" s="253" t="s">
        <v>166</v>
      </c>
      <c r="K173" s="291" t="s">
        <v>16</v>
      </c>
      <c r="L173" s="292">
        <v>4</v>
      </c>
      <c r="M173" s="292">
        <v>2</v>
      </c>
    </row>
    <row r="174" spans="1:13" ht="16.5" thickTop="1" thickBot="1" x14ac:dyDescent="0.3">
      <c r="A174" s="251"/>
      <c r="B174" s="251"/>
      <c r="C174" s="251"/>
      <c r="D174" s="251"/>
      <c r="E174" s="251"/>
      <c r="F174" s="251"/>
      <c r="G174" s="251"/>
      <c r="H174" s="249"/>
      <c r="I174" s="249"/>
      <c r="J174" s="244"/>
      <c r="K174" s="245"/>
      <c r="L174" s="247"/>
      <c r="M174" s="247"/>
    </row>
    <row r="175" spans="1:13" ht="30" customHeight="1" thickTop="1" thickBot="1" x14ac:dyDescent="0.3">
      <c r="A175" s="639" t="s">
        <v>0</v>
      </c>
      <c r="B175" s="639" t="s">
        <v>1</v>
      </c>
      <c r="C175" s="639" t="s">
        <v>2569</v>
      </c>
      <c r="D175" s="636" t="s">
        <v>1961</v>
      </c>
      <c r="E175" s="637"/>
      <c r="F175" s="637"/>
      <c r="G175" s="638"/>
      <c r="H175" s="636" t="s">
        <v>3</v>
      </c>
      <c r="I175" s="637"/>
      <c r="J175" s="636" t="s">
        <v>1962</v>
      </c>
      <c r="K175" s="637"/>
      <c r="L175" s="637"/>
      <c r="M175" s="638"/>
    </row>
    <row r="176" spans="1:13" ht="34.5" customHeight="1" thickTop="1" thickBot="1" x14ac:dyDescent="0.3">
      <c r="A176" s="640"/>
      <c r="B176" s="640"/>
      <c r="C176" s="640"/>
      <c r="D176" s="209" t="s">
        <v>4</v>
      </c>
      <c r="E176" s="209" t="s">
        <v>5</v>
      </c>
      <c r="F176" s="209" t="s">
        <v>6</v>
      </c>
      <c r="G176" s="209" t="s">
        <v>7</v>
      </c>
      <c r="H176" s="209" t="s">
        <v>2</v>
      </c>
      <c r="I176" s="209" t="s">
        <v>3</v>
      </c>
      <c r="J176" s="209" t="s">
        <v>8</v>
      </c>
      <c r="K176" s="209" t="s">
        <v>9</v>
      </c>
      <c r="L176" s="209" t="s">
        <v>1963</v>
      </c>
      <c r="M176" s="209" t="s">
        <v>1964</v>
      </c>
    </row>
    <row r="177" spans="1:13" ht="46.5" thickTop="1" thickBot="1" x14ac:dyDescent="0.3">
      <c r="A177" s="289" t="s">
        <v>2499</v>
      </c>
      <c r="B177" s="289" t="s">
        <v>1955</v>
      </c>
      <c r="C177" s="289" t="s">
        <v>18</v>
      </c>
      <c r="D177" s="299">
        <v>3</v>
      </c>
      <c r="E177" s="299">
        <v>30</v>
      </c>
      <c r="F177" s="299">
        <v>3</v>
      </c>
      <c r="G177" s="299">
        <v>848</v>
      </c>
      <c r="H177" s="292">
        <v>489991364</v>
      </c>
      <c r="I177" s="292">
        <v>189897260</v>
      </c>
      <c r="J177" s="253" t="s">
        <v>164</v>
      </c>
      <c r="K177" s="291" t="s">
        <v>20</v>
      </c>
      <c r="L177" s="292">
        <v>814</v>
      </c>
      <c r="M177" s="292">
        <v>814</v>
      </c>
    </row>
    <row r="178" spans="1:13" ht="46.5" thickTop="1" thickBot="1" x14ac:dyDescent="0.3">
      <c r="A178" s="625" t="s">
        <v>2499</v>
      </c>
      <c r="B178" s="289" t="s">
        <v>1955</v>
      </c>
      <c r="C178" s="289" t="s">
        <v>53</v>
      </c>
      <c r="D178" s="299">
        <v>3</v>
      </c>
      <c r="E178" s="299">
        <v>30</v>
      </c>
      <c r="F178" s="299">
        <v>3</v>
      </c>
      <c r="G178" s="299">
        <v>520</v>
      </c>
      <c r="H178" s="292">
        <v>1306333852</v>
      </c>
      <c r="I178" s="292">
        <v>199644667</v>
      </c>
      <c r="J178" s="253" t="s">
        <v>163</v>
      </c>
      <c r="K178" s="291" t="s">
        <v>55</v>
      </c>
      <c r="L178" s="292">
        <v>12</v>
      </c>
      <c r="M178" s="292">
        <v>3</v>
      </c>
    </row>
    <row r="179" spans="1:13" ht="39.75" customHeight="1" thickTop="1" thickBot="1" x14ac:dyDescent="0.3">
      <c r="A179" s="625" t="s">
        <v>2499</v>
      </c>
      <c r="B179" s="289" t="s">
        <v>1955</v>
      </c>
      <c r="C179" s="289" t="s">
        <v>90</v>
      </c>
      <c r="D179" s="299">
        <v>3</v>
      </c>
      <c r="E179" s="299">
        <v>30</v>
      </c>
      <c r="F179" s="299">
        <v>3</v>
      </c>
      <c r="G179" s="299">
        <v>520</v>
      </c>
      <c r="H179" s="292">
        <v>160302691</v>
      </c>
      <c r="I179" s="292">
        <v>0</v>
      </c>
      <c r="J179" s="253" t="s">
        <v>162</v>
      </c>
      <c r="K179" s="291" t="s">
        <v>108</v>
      </c>
      <c r="L179" s="292">
        <v>1</v>
      </c>
      <c r="M179" s="292">
        <v>0</v>
      </c>
    </row>
    <row r="180" spans="1:13" ht="43.5" customHeight="1" thickTop="1" thickBot="1" x14ac:dyDescent="0.3">
      <c r="A180" s="625" t="s">
        <v>2499</v>
      </c>
      <c r="B180" s="289" t="s">
        <v>1955</v>
      </c>
      <c r="C180" s="289" t="s">
        <v>53</v>
      </c>
      <c r="D180" s="299">
        <v>3</v>
      </c>
      <c r="E180" s="299">
        <v>30</v>
      </c>
      <c r="F180" s="299">
        <v>3</v>
      </c>
      <c r="G180" s="299">
        <v>980</v>
      </c>
      <c r="H180" s="292">
        <v>9250000</v>
      </c>
      <c r="I180" s="292">
        <v>9250000</v>
      </c>
      <c r="J180" s="253" t="s">
        <v>1989</v>
      </c>
      <c r="K180" s="291" t="s">
        <v>16</v>
      </c>
      <c r="L180" s="292">
        <v>1</v>
      </c>
      <c r="M180" s="292">
        <v>1</v>
      </c>
    </row>
    <row r="181" spans="1:13" ht="16.5" thickTop="1" thickBot="1" x14ac:dyDescent="0.3">
      <c r="A181" s="158"/>
      <c r="B181" s="158"/>
      <c r="C181" s="158"/>
      <c r="D181" s="165"/>
      <c r="E181" s="165"/>
      <c r="F181" s="165"/>
      <c r="G181" s="165"/>
      <c r="H181" s="164"/>
      <c r="I181" s="164"/>
      <c r="J181" s="165"/>
      <c r="K181" s="165"/>
      <c r="L181" s="164"/>
      <c r="M181" s="164"/>
    </row>
    <row r="182" spans="1:13" ht="30" customHeight="1" thickTop="1" thickBot="1" x14ac:dyDescent="0.3">
      <c r="A182" s="639" t="s">
        <v>0</v>
      </c>
      <c r="B182" s="639" t="s">
        <v>1</v>
      </c>
      <c r="C182" s="639" t="s">
        <v>2569</v>
      </c>
      <c r="D182" s="636" t="s">
        <v>1961</v>
      </c>
      <c r="E182" s="637"/>
      <c r="F182" s="637"/>
      <c r="G182" s="638"/>
      <c r="H182" s="636" t="s">
        <v>3</v>
      </c>
      <c r="I182" s="637"/>
      <c r="J182" s="636" t="s">
        <v>1962</v>
      </c>
      <c r="K182" s="637"/>
      <c r="L182" s="637"/>
      <c r="M182" s="638"/>
    </row>
    <row r="183" spans="1:13" ht="34.5" customHeight="1" thickTop="1" thickBot="1" x14ac:dyDescent="0.3">
      <c r="A183" s="640"/>
      <c r="B183" s="640"/>
      <c r="C183" s="640"/>
      <c r="D183" s="209" t="s">
        <v>4</v>
      </c>
      <c r="E183" s="209" t="s">
        <v>5</v>
      </c>
      <c r="F183" s="209" t="s">
        <v>6</v>
      </c>
      <c r="G183" s="209" t="s">
        <v>7</v>
      </c>
      <c r="H183" s="209" t="s">
        <v>2</v>
      </c>
      <c r="I183" s="209" t="s">
        <v>3</v>
      </c>
      <c r="J183" s="209" t="s">
        <v>8</v>
      </c>
      <c r="K183" s="209" t="s">
        <v>9</v>
      </c>
      <c r="L183" s="209" t="s">
        <v>1963</v>
      </c>
      <c r="M183" s="209" t="s">
        <v>1964</v>
      </c>
    </row>
    <row r="184" spans="1:13" ht="39" customHeight="1" thickTop="1" thickBot="1" x14ac:dyDescent="0.3">
      <c r="A184" s="289" t="s">
        <v>1958</v>
      </c>
      <c r="B184" s="289" t="s">
        <v>1955</v>
      </c>
      <c r="C184" s="289" t="s">
        <v>18</v>
      </c>
      <c r="D184" s="299">
        <v>2</v>
      </c>
      <c r="E184" s="299">
        <v>30</v>
      </c>
      <c r="F184" s="299">
        <v>3</v>
      </c>
      <c r="G184" s="299">
        <v>848</v>
      </c>
      <c r="H184" s="299">
        <v>384000000</v>
      </c>
      <c r="I184" s="292">
        <v>125012480</v>
      </c>
      <c r="J184" s="252" t="s">
        <v>161</v>
      </c>
      <c r="K184" s="291" t="s">
        <v>20</v>
      </c>
      <c r="L184" s="292">
        <v>550</v>
      </c>
      <c r="M184" s="291">
        <v>180</v>
      </c>
    </row>
    <row r="185" spans="1:13" ht="45.75" customHeight="1" thickTop="1" thickBot="1" x14ac:dyDescent="0.3">
      <c r="A185" s="289" t="s">
        <v>1958</v>
      </c>
      <c r="B185" s="289" t="s">
        <v>1955</v>
      </c>
      <c r="C185" s="413" t="s">
        <v>53</v>
      </c>
      <c r="D185" s="299">
        <v>2</v>
      </c>
      <c r="E185" s="299">
        <v>30</v>
      </c>
      <c r="F185" s="299">
        <v>3</v>
      </c>
      <c r="G185" s="299">
        <v>520</v>
      </c>
      <c r="H185" s="292">
        <v>547143982</v>
      </c>
      <c r="I185" s="292">
        <v>410620689</v>
      </c>
      <c r="J185" s="253" t="s">
        <v>160</v>
      </c>
      <c r="K185" s="291" t="s">
        <v>55</v>
      </c>
      <c r="L185" s="292">
        <v>8</v>
      </c>
      <c r="M185" s="291">
        <v>6</v>
      </c>
    </row>
    <row r="186" spans="1:13" ht="35.25" customHeight="1" thickTop="1" thickBot="1" x14ac:dyDescent="0.3">
      <c r="A186" s="289" t="s">
        <v>1958</v>
      </c>
      <c r="B186" s="289" t="s">
        <v>1955</v>
      </c>
      <c r="C186" s="289" t="s">
        <v>90</v>
      </c>
      <c r="D186" s="299">
        <v>2</v>
      </c>
      <c r="E186" s="299">
        <v>30</v>
      </c>
      <c r="F186" s="299">
        <v>3</v>
      </c>
      <c r="G186" s="299">
        <v>520</v>
      </c>
      <c r="H186" s="292">
        <v>200000000</v>
      </c>
      <c r="I186" s="292">
        <v>0</v>
      </c>
      <c r="J186" s="253" t="s">
        <v>159</v>
      </c>
      <c r="K186" s="291" t="s">
        <v>108</v>
      </c>
      <c r="L186" s="292">
        <v>122</v>
      </c>
      <c r="M186" s="291" t="s">
        <v>123</v>
      </c>
    </row>
    <row r="187" spans="1:13" ht="46.5" thickTop="1" thickBot="1" x14ac:dyDescent="0.3">
      <c r="A187" s="289" t="s">
        <v>1958</v>
      </c>
      <c r="B187" s="289" t="s">
        <v>1955</v>
      </c>
      <c r="C187" s="289" t="s">
        <v>53</v>
      </c>
      <c r="D187" s="299">
        <v>2</v>
      </c>
      <c r="E187" s="299">
        <v>30</v>
      </c>
      <c r="F187" s="299">
        <v>3</v>
      </c>
      <c r="G187" s="299">
        <v>980</v>
      </c>
      <c r="H187" s="292">
        <v>148856018</v>
      </c>
      <c r="I187" s="292">
        <v>148856018</v>
      </c>
      <c r="J187" s="253" t="s">
        <v>1990</v>
      </c>
      <c r="K187" s="291" t="s">
        <v>16</v>
      </c>
      <c r="L187" s="292">
        <v>3</v>
      </c>
      <c r="M187" s="291">
        <v>3</v>
      </c>
    </row>
    <row r="188" spans="1:13" ht="15" customHeight="1" thickTop="1" thickBot="1" x14ac:dyDescent="0.3">
      <c r="A188" s="158"/>
      <c r="B188" s="158"/>
      <c r="C188" s="158"/>
      <c r="D188" s="165"/>
      <c r="E188" s="165"/>
      <c r="F188" s="165"/>
      <c r="G188" s="165"/>
      <c r="H188" s="164"/>
      <c r="I188" s="164"/>
      <c r="J188" s="165"/>
      <c r="K188" s="165"/>
      <c r="L188" s="164"/>
      <c r="M188" s="165"/>
    </row>
    <row r="189" spans="1:13" ht="28.5" customHeight="1" thickTop="1" thickBot="1" x14ac:dyDescent="0.3">
      <c r="A189" s="639" t="s">
        <v>0</v>
      </c>
      <c r="B189" s="639" t="s">
        <v>1</v>
      </c>
      <c r="C189" s="639" t="s">
        <v>2569</v>
      </c>
      <c r="D189" s="636" t="s">
        <v>1961</v>
      </c>
      <c r="E189" s="637"/>
      <c r="F189" s="637"/>
      <c r="G189" s="638"/>
      <c r="H189" s="636" t="s">
        <v>3</v>
      </c>
      <c r="I189" s="637"/>
      <c r="J189" s="636" t="s">
        <v>1962</v>
      </c>
      <c r="K189" s="637"/>
      <c r="L189" s="637"/>
      <c r="M189" s="638"/>
    </row>
    <row r="190" spans="1:13" ht="34.5" customHeight="1" thickTop="1" thickBot="1" x14ac:dyDescent="0.3">
      <c r="A190" s="640"/>
      <c r="B190" s="640"/>
      <c r="C190" s="640"/>
      <c r="D190" s="209" t="s">
        <v>4</v>
      </c>
      <c r="E190" s="209" t="s">
        <v>5</v>
      </c>
      <c r="F190" s="209" t="s">
        <v>6</v>
      </c>
      <c r="G190" s="209" t="s">
        <v>7</v>
      </c>
      <c r="H190" s="209" t="s">
        <v>2</v>
      </c>
      <c r="I190" s="209" t="s">
        <v>3</v>
      </c>
      <c r="J190" s="209" t="s">
        <v>8</v>
      </c>
      <c r="K190" s="209" t="s">
        <v>9</v>
      </c>
      <c r="L190" s="209" t="s">
        <v>1963</v>
      </c>
      <c r="M190" s="209" t="s">
        <v>1964</v>
      </c>
    </row>
    <row r="191" spans="1:13" ht="30" customHeight="1" thickTop="1" thickBot="1" x14ac:dyDescent="0.3">
      <c r="A191" s="651" t="s">
        <v>1959</v>
      </c>
      <c r="B191" s="651" t="s">
        <v>1955</v>
      </c>
      <c r="C191" s="654" t="s">
        <v>18</v>
      </c>
      <c r="D191" s="660">
        <v>2</v>
      </c>
      <c r="E191" s="660">
        <v>30</v>
      </c>
      <c r="F191" s="660">
        <v>3</v>
      </c>
      <c r="G191" s="660">
        <v>848</v>
      </c>
      <c r="H191" s="660">
        <v>407839878</v>
      </c>
      <c r="I191" s="660">
        <v>169585500</v>
      </c>
      <c r="J191" s="658" t="s">
        <v>156</v>
      </c>
      <c r="K191" s="291" t="s">
        <v>20</v>
      </c>
      <c r="L191" s="291">
        <v>469</v>
      </c>
      <c r="M191" s="291">
        <v>469</v>
      </c>
    </row>
    <row r="192" spans="1:13" ht="23.25" customHeight="1" thickTop="1" thickBot="1" x14ac:dyDescent="0.3">
      <c r="A192" s="653"/>
      <c r="B192" s="653"/>
      <c r="C192" s="654"/>
      <c r="D192" s="660"/>
      <c r="E192" s="660"/>
      <c r="F192" s="660"/>
      <c r="G192" s="660"/>
      <c r="H192" s="660"/>
      <c r="I192" s="660"/>
      <c r="J192" s="658"/>
      <c r="K192" s="291" t="s">
        <v>75</v>
      </c>
      <c r="L192" s="291">
        <f>H191/10000</f>
        <v>40783.987800000003</v>
      </c>
      <c r="M192" s="291">
        <v>16151</v>
      </c>
    </row>
    <row r="193" spans="1:13" ht="47.25" customHeight="1" thickTop="1" thickBot="1" x14ac:dyDescent="0.3">
      <c r="A193" s="289" t="s">
        <v>1959</v>
      </c>
      <c r="B193" s="289" t="s">
        <v>1955</v>
      </c>
      <c r="C193" s="289" t="s">
        <v>152</v>
      </c>
      <c r="D193" s="301">
        <v>2</v>
      </c>
      <c r="E193" s="301">
        <v>30</v>
      </c>
      <c r="F193" s="301">
        <v>3</v>
      </c>
      <c r="G193" s="301">
        <v>520</v>
      </c>
      <c r="H193" s="301">
        <v>350000000</v>
      </c>
      <c r="I193" s="301">
        <v>348000000</v>
      </c>
      <c r="J193" s="253" t="s">
        <v>155</v>
      </c>
      <c r="K193" s="291" t="s">
        <v>55</v>
      </c>
      <c r="L193" s="291">
        <v>4</v>
      </c>
      <c r="M193" s="291">
        <v>4</v>
      </c>
    </row>
    <row r="194" spans="1:13" ht="47.25" customHeight="1" thickTop="1" thickBot="1" x14ac:dyDescent="0.3">
      <c r="A194" s="289" t="s">
        <v>1959</v>
      </c>
      <c r="B194" s="289" t="s">
        <v>1955</v>
      </c>
      <c r="C194" s="289" t="s">
        <v>152</v>
      </c>
      <c r="D194" s="301">
        <v>2</v>
      </c>
      <c r="E194" s="301">
        <v>30</v>
      </c>
      <c r="F194" s="301">
        <v>3</v>
      </c>
      <c r="G194" s="301">
        <v>520</v>
      </c>
      <c r="H194" s="301">
        <v>125666397</v>
      </c>
      <c r="I194" s="301">
        <v>0</v>
      </c>
      <c r="J194" s="253" t="s">
        <v>154</v>
      </c>
      <c r="K194" s="291" t="s">
        <v>55</v>
      </c>
      <c r="L194" s="291">
        <v>4</v>
      </c>
      <c r="M194" s="291">
        <v>0</v>
      </c>
    </row>
    <row r="195" spans="1:13" ht="47.25" customHeight="1" thickTop="1" thickBot="1" x14ac:dyDescent="0.3">
      <c r="A195" s="289" t="s">
        <v>1959</v>
      </c>
      <c r="B195" s="289" t="s">
        <v>1955</v>
      </c>
      <c r="C195" s="289" t="s">
        <v>152</v>
      </c>
      <c r="D195" s="301">
        <v>2</v>
      </c>
      <c r="E195" s="301">
        <v>30</v>
      </c>
      <c r="F195" s="301">
        <v>3</v>
      </c>
      <c r="G195" s="301">
        <v>520</v>
      </c>
      <c r="H195" s="301">
        <v>200737570</v>
      </c>
      <c r="I195" s="301">
        <v>0</v>
      </c>
      <c r="J195" s="253" t="s">
        <v>153</v>
      </c>
      <c r="K195" s="291" t="s">
        <v>25</v>
      </c>
      <c r="L195" s="291">
        <v>4</v>
      </c>
      <c r="M195" s="291">
        <v>0</v>
      </c>
    </row>
    <row r="196" spans="1:13" ht="45.75" customHeight="1" thickTop="1" thickBot="1" x14ac:dyDescent="0.3">
      <c r="A196" s="289" t="s">
        <v>1959</v>
      </c>
      <c r="B196" s="289" t="s">
        <v>1955</v>
      </c>
      <c r="C196" s="289" t="s">
        <v>152</v>
      </c>
      <c r="D196" s="301">
        <v>2</v>
      </c>
      <c r="E196" s="301">
        <v>30</v>
      </c>
      <c r="F196" s="301">
        <v>3</v>
      </c>
      <c r="G196" s="301">
        <v>520</v>
      </c>
      <c r="H196" s="301">
        <v>55000000</v>
      </c>
      <c r="I196" s="301">
        <v>51950000</v>
      </c>
      <c r="J196" s="253" t="s">
        <v>151</v>
      </c>
      <c r="K196" s="291" t="s">
        <v>13</v>
      </c>
      <c r="L196" s="291">
        <v>1</v>
      </c>
      <c r="M196" s="291">
        <v>1</v>
      </c>
    </row>
    <row r="197" spans="1:13" ht="39.75" customHeight="1" thickTop="1" thickBot="1" x14ac:dyDescent="0.3">
      <c r="A197" s="289" t="s">
        <v>1959</v>
      </c>
      <c r="B197" s="289" t="s">
        <v>1955</v>
      </c>
      <c r="C197" s="290" t="s">
        <v>90</v>
      </c>
      <c r="D197" s="301">
        <v>2</v>
      </c>
      <c r="E197" s="301">
        <v>30</v>
      </c>
      <c r="F197" s="301">
        <v>3</v>
      </c>
      <c r="G197" s="301">
        <v>520</v>
      </c>
      <c r="H197" s="301">
        <v>265266559</v>
      </c>
      <c r="I197" s="301">
        <v>167700000</v>
      </c>
      <c r="J197" s="253" t="s">
        <v>150</v>
      </c>
      <c r="K197" s="291" t="s">
        <v>11</v>
      </c>
      <c r="L197" s="291">
        <v>3250</v>
      </c>
      <c r="M197" s="291">
        <v>2100</v>
      </c>
    </row>
    <row r="198" spans="1:13" ht="39.75" customHeight="1" thickTop="1" thickBot="1" x14ac:dyDescent="0.3">
      <c r="A198" s="289" t="s">
        <v>1959</v>
      </c>
      <c r="B198" s="289" t="s">
        <v>1955</v>
      </c>
      <c r="C198" s="290" t="s">
        <v>90</v>
      </c>
      <c r="D198" s="301">
        <v>2</v>
      </c>
      <c r="E198" s="301">
        <v>30</v>
      </c>
      <c r="F198" s="301">
        <v>3</v>
      </c>
      <c r="G198" s="301">
        <v>520</v>
      </c>
      <c r="H198" s="301">
        <v>27000000</v>
      </c>
      <c r="I198" s="301">
        <v>25000000</v>
      </c>
      <c r="J198" s="253" t="s">
        <v>149</v>
      </c>
      <c r="K198" s="291" t="s">
        <v>11</v>
      </c>
      <c r="L198" s="291">
        <v>6000</v>
      </c>
      <c r="M198" s="291">
        <v>6000</v>
      </c>
    </row>
    <row r="199" spans="1:13" ht="15.75" thickTop="1" x14ac:dyDescent="0.25"/>
  </sheetData>
  <mergeCells count="174">
    <mergeCell ref="C26:C27"/>
    <mergeCell ref="D26:D27"/>
    <mergeCell ref="B5:B6"/>
    <mergeCell ref="C5:C6"/>
    <mergeCell ref="I7:I8"/>
    <mergeCell ref="D5:G5"/>
    <mergeCell ref="B14:B15"/>
    <mergeCell ref="C14:C15"/>
    <mergeCell ref="D14:G14"/>
    <mergeCell ref="C7:C8"/>
    <mergeCell ref="H7:H8"/>
    <mergeCell ref="H5:I5"/>
    <mergeCell ref="E26:E27"/>
    <mergeCell ref="F26:F27"/>
    <mergeCell ref="B24:B25"/>
    <mergeCell ref="C24:C25"/>
    <mergeCell ref="D24:G24"/>
    <mergeCell ref="C17:C21"/>
    <mergeCell ref="I26:I27"/>
    <mergeCell ref="G26:G27"/>
    <mergeCell ref="C64:C65"/>
    <mergeCell ref="B105:B106"/>
    <mergeCell ref="H62:I62"/>
    <mergeCell ref="J62:M62"/>
    <mergeCell ref="J54:M54"/>
    <mergeCell ref="H86:I86"/>
    <mergeCell ref="J86:M86"/>
    <mergeCell ref="H103:I103"/>
    <mergeCell ref="J103:M103"/>
    <mergeCell ref="D105:D106"/>
    <mergeCell ref="E105:E106"/>
    <mergeCell ref="F105:F106"/>
    <mergeCell ref="G105:G106"/>
    <mergeCell ref="H105:H106"/>
    <mergeCell ref="C105:C106"/>
    <mergeCell ref="B86:B87"/>
    <mergeCell ref="C86:C87"/>
    <mergeCell ref="D86:G86"/>
    <mergeCell ref="J105:J106"/>
    <mergeCell ref="B75:B76"/>
    <mergeCell ref="C75:C76"/>
    <mergeCell ref="D75:G75"/>
    <mergeCell ref="H75:I75"/>
    <mergeCell ref="J75:M75"/>
    <mergeCell ref="C35:C36"/>
    <mergeCell ref="D35:G35"/>
    <mergeCell ref="B62:B63"/>
    <mergeCell ref="B35:B36"/>
    <mergeCell ref="B54:B55"/>
    <mergeCell ref="C54:C55"/>
    <mergeCell ref="B46:B47"/>
    <mergeCell ref="C46:C47"/>
    <mergeCell ref="C62:C63"/>
    <mergeCell ref="D62:G62"/>
    <mergeCell ref="D54:G54"/>
    <mergeCell ref="C41:C42"/>
    <mergeCell ref="D46:G46"/>
    <mergeCell ref="H165:I165"/>
    <mergeCell ref="J165:M165"/>
    <mergeCell ref="H175:I175"/>
    <mergeCell ref="J175:M175"/>
    <mergeCell ref="B175:B176"/>
    <mergeCell ref="C175:C176"/>
    <mergeCell ref="D175:G175"/>
    <mergeCell ref="B165:B166"/>
    <mergeCell ref="C165:C166"/>
    <mergeCell ref="D165:G165"/>
    <mergeCell ref="I191:I192"/>
    <mergeCell ref="J191:J192"/>
    <mergeCell ref="D191:D192"/>
    <mergeCell ref="E191:E192"/>
    <mergeCell ref="F191:F192"/>
    <mergeCell ref="G191:G192"/>
    <mergeCell ref="H191:H192"/>
    <mergeCell ref="B182:B183"/>
    <mergeCell ref="C182:C183"/>
    <mergeCell ref="D182:G182"/>
    <mergeCell ref="B189:B190"/>
    <mergeCell ref="C189:C190"/>
    <mergeCell ref="D189:G189"/>
    <mergeCell ref="H182:I182"/>
    <mergeCell ref="J182:M182"/>
    <mergeCell ref="H189:I189"/>
    <mergeCell ref="J189:M189"/>
    <mergeCell ref="B191:B192"/>
    <mergeCell ref="C191:C192"/>
    <mergeCell ref="A165:A166"/>
    <mergeCell ref="A175:A176"/>
    <mergeCell ref="A5:A6"/>
    <mergeCell ref="A14:A15"/>
    <mergeCell ref="A24:A25"/>
    <mergeCell ref="A35:A36"/>
    <mergeCell ref="A46:A47"/>
    <mergeCell ref="A54:A55"/>
    <mergeCell ref="A62:A63"/>
    <mergeCell ref="A86:A87"/>
    <mergeCell ref="A96:A97"/>
    <mergeCell ref="A103:A104"/>
    <mergeCell ref="A114:A115"/>
    <mergeCell ref="A75:A76"/>
    <mergeCell ref="A125:A126"/>
    <mergeCell ref="A141:A142"/>
    <mergeCell ref="J125:M125"/>
    <mergeCell ref="H114:I114"/>
    <mergeCell ref="J114:M114"/>
    <mergeCell ref="I105:I106"/>
    <mergeCell ref="H96:I96"/>
    <mergeCell ref="J96:M96"/>
    <mergeCell ref="B96:B97"/>
    <mergeCell ref="C96:C97"/>
    <mergeCell ref="D96:G96"/>
    <mergeCell ref="B103:B104"/>
    <mergeCell ref="B114:B115"/>
    <mergeCell ref="B125:B126"/>
    <mergeCell ref="C125:C126"/>
    <mergeCell ref="C114:C115"/>
    <mergeCell ref="D114:G114"/>
    <mergeCell ref="D125:G125"/>
    <mergeCell ref="C103:C104"/>
    <mergeCell ref="D103:G103"/>
    <mergeCell ref="J5:M5"/>
    <mergeCell ref="D7:D8"/>
    <mergeCell ref="E7:E8"/>
    <mergeCell ref="F7:F8"/>
    <mergeCell ref="G7:G8"/>
    <mergeCell ref="H14:I14"/>
    <mergeCell ref="J14:M14"/>
    <mergeCell ref="H24:I24"/>
    <mergeCell ref="J24:M24"/>
    <mergeCell ref="J157:J158"/>
    <mergeCell ref="A191:A192"/>
    <mergeCell ref="H26:H27"/>
    <mergeCell ref="B157:B158"/>
    <mergeCell ref="C157:C158"/>
    <mergeCell ref="D157:D158"/>
    <mergeCell ref="E157:E158"/>
    <mergeCell ref="F157:F158"/>
    <mergeCell ref="G157:G158"/>
    <mergeCell ref="H157:H158"/>
    <mergeCell ref="H141:I141"/>
    <mergeCell ref="J141:M141"/>
    <mergeCell ref="H148:I148"/>
    <mergeCell ref="J148:M148"/>
    <mergeCell ref="H155:I155"/>
    <mergeCell ref="J155:M155"/>
    <mergeCell ref="A182:A183"/>
    <mergeCell ref="A189:A190"/>
    <mergeCell ref="H35:I35"/>
    <mergeCell ref="J35:M35"/>
    <mergeCell ref="H46:I46"/>
    <mergeCell ref="J46:M46"/>
    <mergeCell ref="H54:I54"/>
    <mergeCell ref="H125:I125"/>
    <mergeCell ref="C77:C79"/>
    <mergeCell ref="D77:D78"/>
    <mergeCell ref="E77:E78"/>
    <mergeCell ref="F77:F78"/>
    <mergeCell ref="G77:G78"/>
    <mergeCell ref="H77:H78"/>
    <mergeCell ref="I77:I78"/>
    <mergeCell ref="A157:A158"/>
    <mergeCell ref="I157:I158"/>
    <mergeCell ref="A148:A149"/>
    <mergeCell ref="A155:A156"/>
    <mergeCell ref="B155:B156"/>
    <mergeCell ref="C155:C156"/>
    <mergeCell ref="D155:G155"/>
    <mergeCell ref="B148:B149"/>
    <mergeCell ref="B141:B142"/>
    <mergeCell ref="C141:C142"/>
    <mergeCell ref="D141:G141"/>
    <mergeCell ref="C148:C149"/>
    <mergeCell ref="D148:G148"/>
    <mergeCell ref="C144:C14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178"/>
  <sheetViews>
    <sheetView showGridLines="0" zoomScaleNormal="100" workbookViewId="0">
      <selection activeCell="C5" sqref="C5:C6"/>
    </sheetView>
  </sheetViews>
  <sheetFormatPr baseColWidth="10" defaultRowHeight="15" x14ac:dyDescent="0.25"/>
  <cols>
    <col min="1" max="1" width="19.7109375" style="207" customWidth="1"/>
    <col min="2" max="2" width="19.85546875" customWidth="1"/>
    <col min="3" max="3" width="21.85546875" customWidth="1"/>
    <col min="4" max="7" width="8.7109375" customWidth="1"/>
    <col min="8" max="9" width="15.140625" customWidth="1"/>
    <col min="10" max="10" width="32.140625" customWidth="1"/>
    <col min="11" max="11" width="12.140625" customWidth="1"/>
    <col min="12" max="13" width="15.140625" customWidth="1"/>
  </cols>
  <sheetData>
    <row r="4" spans="1:13" ht="9" customHeight="1" thickBot="1" x14ac:dyDescent="0.3"/>
    <row r="5" spans="1:13" s="42" customFormat="1" ht="30" customHeight="1" thickTop="1" thickBot="1" x14ac:dyDescent="0.3">
      <c r="A5" s="639" t="s">
        <v>0</v>
      </c>
      <c r="B5" s="639" t="s">
        <v>1</v>
      </c>
      <c r="C5" s="639" t="s">
        <v>2569</v>
      </c>
      <c r="D5" s="636" t="s">
        <v>1961</v>
      </c>
      <c r="E5" s="637"/>
      <c r="F5" s="637"/>
      <c r="G5" s="638"/>
      <c r="H5" s="636" t="s">
        <v>3</v>
      </c>
      <c r="I5" s="637"/>
      <c r="J5" s="636" t="s">
        <v>1962</v>
      </c>
      <c r="K5" s="637"/>
      <c r="L5" s="637"/>
      <c r="M5" s="638"/>
    </row>
    <row r="6" spans="1:13" s="42" customFormat="1" ht="34.5" customHeight="1" thickTop="1" thickBot="1" x14ac:dyDescent="0.3">
      <c r="A6" s="640"/>
      <c r="B6" s="640"/>
      <c r="C6" s="640"/>
      <c r="D6" s="209" t="s">
        <v>4</v>
      </c>
      <c r="E6" s="209" t="s">
        <v>5</v>
      </c>
      <c r="F6" s="209" t="s">
        <v>6</v>
      </c>
      <c r="G6" s="209" t="s">
        <v>7</v>
      </c>
      <c r="H6" s="209" t="s">
        <v>2</v>
      </c>
      <c r="I6" s="209" t="s">
        <v>3</v>
      </c>
      <c r="J6" s="209" t="s">
        <v>8</v>
      </c>
      <c r="K6" s="209" t="s">
        <v>9</v>
      </c>
      <c r="L6" s="209" t="s">
        <v>1963</v>
      </c>
      <c r="M6" s="209" t="s">
        <v>1964</v>
      </c>
    </row>
    <row r="7" spans="1:13" s="42" customFormat="1" ht="39" customHeight="1" thickTop="1" thickBot="1" x14ac:dyDescent="0.3">
      <c r="A7" s="211" t="s">
        <v>2500</v>
      </c>
      <c r="B7" s="210" t="s">
        <v>285</v>
      </c>
      <c r="C7" s="211" t="s">
        <v>18</v>
      </c>
      <c r="D7" s="211">
        <v>3</v>
      </c>
      <c r="E7" s="211">
        <v>30</v>
      </c>
      <c r="F7" s="211">
        <v>3</v>
      </c>
      <c r="G7" s="211">
        <v>848</v>
      </c>
      <c r="H7" s="212">
        <v>1011382560</v>
      </c>
      <c r="I7" s="213">
        <v>598778370</v>
      </c>
      <c r="J7" s="216" t="s">
        <v>286</v>
      </c>
      <c r="K7" s="214" t="s">
        <v>20</v>
      </c>
      <c r="L7" s="219">
        <v>800</v>
      </c>
      <c r="M7" s="214">
        <v>470</v>
      </c>
    </row>
    <row r="8" spans="1:13" s="42" customFormat="1" ht="51.75" customHeight="1" thickTop="1" thickBot="1" x14ac:dyDescent="0.3">
      <c r="A8" s="627" t="s">
        <v>2500</v>
      </c>
      <c r="B8" s="210" t="s">
        <v>285</v>
      </c>
      <c r="C8" s="211" t="s">
        <v>53</v>
      </c>
      <c r="D8" s="211">
        <v>3</v>
      </c>
      <c r="E8" s="211">
        <v>30</v>
      </c>
      <c r="F8" s="211">
        <v>3</v>
      </c>
      <c r="G8" s="211">
        <v>520</v>
      </c>
      <c r="H8" s="212">
        <v>1079752461</v>
      </c>
      <c r="I8" s="213">
        <v>668527779</v>
      </c>
      <c r="J8" s="216" t="s">
        <v>287</v>
      </c>
      <c r="K8" s="214" t="s">
        <v>55</v>
      </c>
      <c r="L8" s="219">
        <v>6</v>
      </c>
      <c r="M8" s="214">
        <v>4</v>
      </c>
    </row>
    <row r="9" spans="1:13" s="42" customFormat="1" ht="51.75" customHeight="1" thickTop="1" thickBot="1" x14ac:dyDescent="0.3">
      <c r="A9" s="627" t="s">
        <v>2500</v>
      </c>
      <c r="B9" s="210" t="s">
        <v>285</v>
      </c>
      <c r="C9" s="211" t="s">
        <v>53</v>
      </c>
      <c r="D9" s="211">
        <v>3</v>
      </c>
      <c r="E9" s="211">
        <v>30</v>
      </c>
      <c r="F9" s="211">
        <v>3</v>
      </c>
      <c r="G9" s="211">
        <v>520</v>
      </c>
      <c r="H9" s="212">
        <v>74256796</v>
      </c>
      <c r="I9" s="213">
        <v>74256796</v>
      </c>
      <c r="J9" s="216" t="s">
        <v>288</v>
      </c>
      <c r="K9" s="214" t="s">
        <v>25</v>
      </c>
      <c r="L9" s="219">
        <v>1</v>
      </c>
      <c r="M9" s="214">
        <v>1</v>
      </c>
    </row>
    <row r="10" spans="1:13" s="42" customFormat="1" ht="51.75" customHeight="1" thickTop="1" thickBot="1" x14ac:dyDescent="0.3">
      <c r="A10" s="627" t="s">
        <v>2500</v>
      </c>
      <c r="B10" s="210" t="s">
        <v>285</v>
      </c>
      <c r="C10" s="211" t="s">
        <v>53</v>
      </c>
      <c r="D10" s="211">
        <v>3</v>
      </c>
      <c r="E10" s="211">
        <v>30</v>
      </c>
      <c r="F10" s="211">
        <v>3</v>
      </c>
      <c r="G10" s="211">
        <v>520</v>
      </c>
      <c r="H10" s="212">
        <v>382251696</v>
      </c>
      <c r="I10" s="213">
        <v>382251696</v>
      </c>
      <c r="J10" s="216" t="s">
        <v>289</v>
      </c>
      <c r="K10" s="214" t="s">
        <v>290</v>
      </c>
      <c r="L10" s="219">
        <v>3</v>
      </c>
      <c r="M10" s="214">
        <v>3</v>
      </c>
    </row>
    <row r="11" spans="1:13" s="42" customFormat="1" ht="51.75" customHeight="1" thickTop="1" thickBot="1" x14ac:dyDescent="0.3">
      <c r="A11" s="627" t="s">
        <v>2500</v>
      </c>
      <c r="B11" s="210" t="s">
        <v>285</v>
      </c>
      <c r="C11" s="211" t="s">
        <v>53</v>
      </c>
      <c r="D11" s="211">
        <v>3</v>
      </c>
      <c r="E11" s="211">
        <v>30</v>
      </c>
      <c r="F11" s="211">
        <v>3</v>
      </c>
      <c r="G11" s="211">
        <v>520</v>
      </c>
      <c r="H11" s="212">
        <v>149376646</v>
      </c>
      <c r="I11" s="213">
        <v>149376646</v>
      </c>
      <c r="J11" s="216" t="s">
        <v>291</v>
      </c>
      <c r="K11" s="214" t="s">
        <v>55</v>
      </c>
      <c r="L11" s="219">
        <v>5</v>
      </c>
      <c r="M11" s="214">
        <v>5</v>
      </c>
    </row>
    <row r="12" spans="1:13" s="42" customFormat="1" ht="37.5" customHeight="1" thickTop="1" thickBot="1" x14ac:dyDescent="0.3">
      <c r="A12" s="627" t="s">
        <v>2500</v>
      </c>
      <c r="B12" s="210" t="s">
        <v>285</v>
      </c>
      <c r="C12" s="211" t="s">
        <v>90</v>
      </c>
      <c r="D12" s="211">
        <v>3</v>
      </c>
      <c r="E12" s="211">
        <v>30</v>
      </c>
      <c r="F12" s="211">
        <v>3</v>
      </c>
      <c r="G12" s="211">
        <v>520</v>
      </c>
      <c r="H12" s="212">
        <v>0</v>
      </c>
      <c r="I12" s="213">
        <v>0</v>
      </c>
      <c r="J12" s="216" t="s">
        <v>292</v>
      </c>
      <c r="K12" s="214" t="s">
        <v>174</v>
      </c>
      <c r="L12" s="219">
        <v>1</v>
      </c>
      <c r="M12" s="214">
        <v>0</v>
      </c>
    </row>
    <row r="13" spans="1:13" s="42" customFormat="1" ht="40.5" customHeight="1" thickTop="1" thickBot="1" x14ac:dyDescent="0.3">
      <c r="A13" s="627" t="s">
        <v>2500</v>
      </c>
      <c r="B13" s="210" t="s">
        <v>285</v>
      </c>
      <c r="C13" s="211" t="s">
        <v>90</v>
      </c>
      <c r="D13" s="211">
        <v>3</v>
      </c>
      <c r="E13" s="211">
        <v>30</v>
      </c>
      <c r="F13" s="211">
        <v>3</v>
      </c>
      <c r="G13" s="211">
        <v>520</v>
      </c>
      <c r="H13" s="212">
        <v>674255039</v>
      </c>
      <c r="I13" s="213">
        <v>420231900</v>
      </c>
      <c r="J13" s="216" t="s">
        <v>293</v>
      </c>
      <c r="K13" s="214" t="s">
        <v>11</v>
      </c>
      <c r="L13" s="219">
        <v>9364</v>
      </c>
      <c r="M13" s="214">
        <v>5850</v>
      </c>
    </row>
    <row r="14" spans="1:13" s="42" customFormat="1" ht="17.25" customHeight="1" thickTop="1" thickBot="1" x14ac:dyDescent="0.3">
      <c r="A14" s="312"/>
      <c r="C14" s="256"/>
      <c r="D14" s="256"/>
      <c r="E14" s="256"/>
      <c r="F14" s="256"/>
      <c r="G14" s="256"/>
      <c r="H14" s="256"/>
      <c r="I14" s="256"/>
      <c r="J14" s="256"/>
      <c r="K14" s="256"/>
      <c r="L14" s="256"/>
      <c r="M14" s="256"/>
    </row>
    <row r="15" spans="1:13" s="42" customFormat="1" ht="30" customHeight="1" thickTop="1" thickBot="1" x14ac:dyDescent="0.3">
      <c r="A15" s="639" t="s">
        <v>0</v>
      </c>
      <c r="B15" s="639" t="s">
        <v>1</v>
      </c>
      <c r="C15" s="639" t="s">
        <v>2569</v>
      </c>
      <c r="D15" s="636" t="s">
        <v>1961</v>
      </c>
      <c r="E15" s="637"/>
      <c r="F15" s="637"/>
      <c r="G15" s="638"/>
      <c r="H15" s="636" t="s">
        <v>3</v>
      </c>
      <c r="I15" s="637"/>
      <c r="J15" s="636" t="s">
        <v>1962</v>
      </c>
      <c r="K15" s="637"/>
      <c r="L15" s="637"/>
      <c r="M15" s="638"/>
    </row>
    <row r="16" spans="1:13" s="42" customFormat="1" ht="34.5" customHeight="1" thickTop="1" thickBot="1" x14ac:dyDescent="0.3">
      <c r="A16" s="640"/>
      <c r="B16" s="640"/>
      <c r="C16" s="640"/>
      <c r="D16" s="209" t="s">
        <v>4</v>
      </c>
      <c r="E16" s="209" t="s">
        <v>5</v>
      </c>
      <c r="F16" s="209" t="s">
        <v>6</v>
      </c>
      <c r="G16" s="209" t="s">
        <v>7</v>
      </c>
      <c r="H16" s="209" t="s">
        <v>2</v>
      </c>
      <c r="I16" s="209" t="s">
        <v>3</v>
      </c>
      <c r="J16" s="209" t="s">
        <v>8</v>
      </c>
      <c r="K16" s="209" t="s">
        <v>9</v>
      </c>
      <c r="L16" s="209" t="s">
        <v>1963</v>
      </c>
      <c r="M16" s="209" t="s">
        <v>1964</v>
      </c>
    </row>
    <row r="17" spans="1:13" s="42" customFormat="1" ht="50.25" customHeight="1" thickTop="1" thickBot="1" x14ac:dyDescent="0.3">
      <c r="A17" s="211" t="s">
        <v>294</v>
      </c>
      <c r="B17" s="210" t="s">
        <v>285</v>
      </c>
      <c r="C17" s="211" t="s">
        <v>18</v>
      </c>
      <c r="D17" s="211">
        <v>3</v>
      </c>
      <c r="E17" s="211">
        <v>30</v>
      </c>
      <c r="F17" s="211">
        <v>3</v>
      </c>
      <c r="G17" s="211">
        <v>848</v>
      </c>
      <c r="H17" s="212">
        <v>305117520</v>
      </c>
      <c r="I17" s="213">
        <v>115535840</v>
      </c>
      <c r="J17" s="216" t="s">
        <v>298</v>
      </c>
      <c r="K17" s="214" t="s">
        <v>20</v>
      </c>
      <c r="L17" s="219" t="s">
        <v>299</v>
      </c>
      <c r="M17" s="214">
        <v>250</v>
      </c>
    </row>
    <row r="18" spans="1:13" s="42" customFormat="1" ht="31.5" customHeight="1" thickTop="1" thickBot="1" x14ac:dyDescent="0.3">
      <c r="A18" s="290" t="s">
        <v>294</v>
      </c>
      <c r="B18" s="237" t="s">
        <v>285</v>
      </c>
      <c r="C18" s="654" t="s">
        <v>300</v>
      </c>
      <c r="D18" s="248">
        <v>3</v>
      </c>
      <c r="E18" s="248">
        <v>30</v>
      </c>
      <c r="F18" s="248">
        <v>3</v>
      </c>
      <c r="G18" s="248">
        <v>520</v>
      </c>
      <c r="H18" s="212">
        <v>431340879</v>
      </c>
      <c r="I18" s="213">
        <v>89728700</v>
      </c>
      <c r="J18" s="248" t="s">
        <v>301</v>
      </c>
      <c r="K18" s="248" t="s">
        <v>55</v>
      </c>
      <c r="L18" s="257" t="s">
        <v>296</v>
      </c>
      <c r="M18" s="258">
        <v>1</v>
      </c>
    </row>
    <row r="19" spans="1:13" s="42" customFormat="1" ht="31.5" customHeight="1" thickTop="1" thickBot="1" x14ac:dyDescent="0.3">
      <c r="A19" s="290" t="s">
        <v>294</v>
      </c>
      <c r="B19" s="237" t="s">
        <v>285</v>
      </c>
      <c r="C19" s="654"/>
      <c r="D19" s="248">
        <v>3</v>
      </c>
      <c r="E19" s="248">
        <v>30</v>
      </c>
      <c r="F19" s="248">
        <v>3</v>
      </c>
      <c r="G19" s="248">
        <v>520</v>
      </c>
      <c r="H19" s="212">
        <v>209000000</v>
      </c>
      <c r="I19" s="213">
        <v>0</v>
      </c>
      <c r="J19" s="248" t="s">
        <v>302</v>
      </c>
      <c r="K19" s="248" t="s">
        <v>25</v>
      </c>
      <c r="L19" s="257" t="s">
        <v>303</v>
      </c>
      <c r="M19" s="258">
        <v>0</v>
      </c>
    </row>
    <row r="20" spans="1:13" s="42" customFormat="1" ht="38.25" customHeight="1" thickTop="1" thickBot="1" x14ac:dyDescent="0.3">
      <c r="A20" s="290" t="s">
        <v>294</v>
      </c>
      <c r="B20" s="237" t="s">
        <v>285</v>
      </c>
      <c r="C20" s="654"/>
      <c r="D20" s="248">
        <v>3</v>
      </c>
      <c r="E20" s="248">
        <v>30</v>
      </c>
      <c r="F20" s="248">
        <v>3</v>
      </c>
      <c r="G20" s="248">
        <v>530</v>
      </c>
      <c r="H20" s="212">
        <v>71600000</v>
      </c>
      <c r="I20" s="213">
        <v>58000000</v>
      </c>
      <c r="J20" s="248" t="s">
        <v>304</v>
      </c>
      <c r="K20" s="248" t="s">
        <v>1991</v>
      </c>
      <c r="L20" s="257" t="s">
        <v>305</v>
      </c>
      <c r="M20" s="258">
        <v>400</v>
      </c>
    </row>
    <row r="21" spans="1:13" s="42" customFormat="1" ht="17.25" customHeight="1" thickTop="1" thickBot="1" x14ac:dyDescent="0.3">
      <c r="A21" s="313"/>
      <c r="C21" s="156"/>
      <c r="D21" s="156"/>
      <c r="E21" s="156"/>
      <c r="F21" s="156"/>
      <c r="G21" s="156"/>
      <c r="H21" s="156"/>
      <c r="I21" s="156"/>
      <c r="J21" s="156"/>
      <c r="K21" s="156"/>
      <c r="L21" s="156"/>
      <c r="M21" s="156"/>
    </row>
    <row r="22" spans="1:13" s="42" customFormat="1" ht="30" customHeight="1" thickTop="1" thickBot="1" x14ac:dyDescent="0.3">
      <c r="A22" s="639" t="s">
        <v>0</v>
      </c>
      <c r="B22" s="639" t="s">
        <v>1</v>
      </c>
      <c r="C22" s="639" t="s">
        <v>2569</v>
      </c>
      <c r="D22" s="636" t="s">
        <v>1961</v>
      </c>
      <c r="E22" s="637"/>
      <c r="F22" s="637"/>
      <c r="G22" s="638"/>
      <c r="H22" s="636" t="s">
        <v>3</v>
      </c>
      <c r="I22" s="637"/>
      <c r="J22" s="636" t="s">
        <v>1962</v>
      </c>
      <c r="K22" s="637"/>
      <c r="L22" s="637"/>
      <c r="M22" s="638"/>
    </row>
    <row r="23" spans="1:13" s="42" customFormat="1" ht="34.5" customHeight="1" thickTop="1" thickBot="1" x14ac:dyDescent="0.3">
      <c r="A23" s="640"/>
      <c r="B23" s="640"/>
      <c r="C23" s="640"/>
      <c r="D23" s="209" t="s">
        <v>4</v>
      </c>
      <c r="E23" s="209" t="s">
        <v>5</v>
      </c>
      <c r="F23" s="209" t="s">
        <v>6</v>
      </c>
      <c r="G23" s="209" t="s">
        <v>7</v>
      </c>
      <c r="H23" s="209" t="s">
        <v>2</v>
      </c>
      <c r="I23" s="209" t="s">
        <v>3</v>
      </c>
      <c r="J23" s="209" t="s">
        <v>8</v>
      </c>
      <c r="K23" s="209" t="s">
        <v>9</v>
      </c>
      <c r="L23" s="209" t="s">
        <v>1963</v>
      </c>
      <c r="M23" s="209" t="s">
        <v>1964</v>
      </c>
    </row>
    <row r="24" spans="1:13" s="42" customFormat="1" ht="39" customHeight="1" thickTop="1" thickBot="1" x14ac:dyDescent="0.3">
      <c r="A24" s="290" t="s">
        <v>306</v>
      </c>
      <c r="B24" s="289" t="s">
        <v>285</v>
      </c>
      <c r="C24" s="654" t="s">
        <v>53</v>
      </c>
      <c r="D24" s="291">
        <v>3</v>
      </c>
      <c r="E24" s="292">
        <v>30</v>
      </c>
      <c r="F24" s="292">
        <v>3</v>
      </c>
      <c r="G24" s="291">
        <v>520</v>
      </c>
      <c r="H24" s="294">
        <v>389940000</v>
      </c>
      <c r="I24" s="295">
        <v>186748800</v>
      </c>
      <c r="J24" s="426" t="s">
        <v>307</v>
      </c>
      <c r="K24" s="291" t="s">
        <v>25</v>
      </c>
      <c r="L24" s="291">
        <v>6</v>
      </c>
      <c r="M24" s="291">
        <v>3</v>
      </c>
    </row>
    <row r="25" spans="1:13" s="42" customFormat="1" ht="40.5" customHeight="1" thickTop="1" thickBot="1" x14ac:dyDescent="0.3">
      <c r="A25" s="290" t="s">
        <v>306</v>
      </c>
      <c r="B25" s="289" t="s">
        <v>285</v>
      </c>
      <c r="C25" s="654"/>
      <c r="D25" s="291">
        <v>3</v>
      </c>
      <c r="E25" s="292">
        <v>30</v>
      </c>
      <c r="F25" s="292">
        <v>3</v>
      </c>
      <c r="G25" s="291">
        <v>520</v>
      </c>
      <c r="H25" s="294">
        <v>100000000</v>
      </c>
      <c r="I25" s="295">
        <v>0</v>
      </c>
      <c r="J25" s="426" t="s">
        <v>1972</v>
      </c>
      <c r="K25" s="291" t="s">
        <v>25</v>
      </c>
      <c r="L25" s="291">
        <v>5</v>
      </c>
      <c r="M25" s="291">
        <v>0</v>
      </c>
    </row>
    <row r="26" spans="1:13" s="42" customFormat="1" ht="39.75" customHeight="1" thickTop="1" thickBot="1" x14ac:dyDescent="0.3">
      <c r="A26" s="290" t="s">
        <v>306</v>
      </c>
      <c r="B26" s="289" t="s">
        <v>285</v>
      </c>
      <c r="C26" s="654"/>
      <c r="D26" s="291">
        <v>3</v>
      </c>
      <c r="E26" s="292">
        <v>30</v>
      </c>
      <c r="F26" s="292">
        <v>3</v>
      </c>
      <c r="G26" s="291">
        <v>520</v>
      </c>
      <c r="H26" s="294">
        <v>203916929</v>
      </c>
      <c r="I26" s="295">
        <v>193577033</v>
      </c>
      <c r="J26" s="426" t="s">
        <v>308</v>
      </c>
      <c r="K26" s="291" t="s">
        <v>55</v>
      </c>
      <c r="L26" s="291">
        <v>2</v>
      </c>
      <c r="M26" s="291">
        <v>2</v>
      </c>
    </row>
    <row r="27" spans="1:13" s="42" customFormat="1" ht="33.75" customHeight="1" thickTop="1" thickBot="1" x14ac:dyDescent="0.3">
      <c r="A27" s="290" t="s">
        <v>306</v>
      </c>
      <c r="B27" s="289" t="s">
        <v>285</v>
      </c>
      <c r="C27" s="654"/>
      <c r="D27" s="289">
        <v>3</v>
      </c>
      <c r="E27" s="289">
        <v>30</v>
      </c>
      <c r="F27" s="289">
        <v>3</v>
      </c>
      <c r="G27" s="289">
        <v>520</v>
      </c>
      <c r="H27" s="294">
        <v>639963757</v>
      </c>
      <c r="I27" s="294">
        <v>293841950</v>
      </c>
      <c r="J27" s="416" t="s">
        <v>309</v>
      </c>
      <c r="K27" s="291" t="s">
        <v>55</v>
      </c>
      <c r="L27" s="291">
        <v>40</v>
      </c>
      <c r="M27" s="292">
        <v>18</v>
      </c>
    </row>
    <row r="28" spans="1:13" s="42" customFormat="1" ht="45" customHeight="1" thickTop="1" thickBot="1" x14ac:dyDescent="0.3">
      <c r="A28" s="290" t="s">
        <v>306</v>
      </c>
      <c r="B28" s="289" t="s">
        <v>285</v>
      </c>
      <c r="C28" s="289" t="s">
        <v>310</v>
      </c>
      <c r="D28" s="289">
        <v>3</v>
      </c>
      <c r="E28" s="289">
        <v>30</v>
      </c>
      <c r="F28" s="289">
        <v>3</v>
      </c>
      <c r="G28" s="289">
        <v>520</v>
      </c>
      <c r="H28" s="294">
        <v>377796169</v>
      </c>
      <c r="I28" s="294">
        <v>203569000</v>
      </c>
      <c r="J28" s="416" t="s">
        <v>311</v>
      </c>
      <c r="K28" s="291" t="s">
        <v>81</v>
      </c>
      <c r="L28" s="291">
        <v>2</v>
      </c>
      <c r="M28" s="292">
        <v>2</v>
      </c>
    </row>
    <row r="29" spans="1:13" s="42" customFormat="1" ht="15" customHeight="1" thickTop="1" thickBot="1" x14ac:dyDescent="0.3">
      <c r="A29" s="314"/>
    </row>
    <row r="30" spans="1:13" s="42" customFormat="1" ht="30" customHeight="1" thickTop="1" thickBot="1" x14ac:dyDescent="0.3">
      <c r="A30" s="639" t="s">
        <v>0</v>
      </c>
      <c r="B30" s="639" t="s">
        <v>1</v>
      </c>
      <c r="C30" s="639" t="s">
        <v>2569</v>
      </c>
      <c r="D30" s="636" t="s">
        <v>1961</v>
      </c>
      <c r="E30" s="637"/>
      <c r="F30" s="637"/>
      <c r="G30" s="638"/>
      <c r="H30" s="636" t="s">
        <v>3</v>
      </c>
      <c r="I30" s="637"/>
      <c r="J30" s="636" t="s">
        <v>1962</v>
      </c>
      <c r="K30" s="637"/>
      <c r="L30" s="637"/>
      <c r="M30" s="638"/>
    </row>
    <row r="31" spans="1:13" s="42" customFormat="1" ht="34.5" customHeight="1" thickTop="1" thickBot="1" x14ac:dyDescent="0.3">
      <c r="A31" s="640"/>
      <c r="B31" s="640"/>
      <c r="C31" s="640"/>
      <c r="D31" s="209" t="s">
        <v>4</v>
      </c>
      <c r="E31" s="209" t="s">
        <v>5</v>
      </c>
      <c r="F31" s="209" t="s">
        <v>6</v>
      </c>
      <c r="G31" s="209" t="s">
        <v>7</v>
      </c>
      <c r="H31" s="209" t="s">
        <v>2</v>
      </c>
      <c r="I31" s="209" t="s">
        <v>3</v>
      </c>
      <c r="J31" s="209" t="s">
        <v>8</v>
      </c>
      <c r="K31" s="209" t="s">
        <v>9</v>
      </c>
      <c r="L31" s="209" t="s">
        <v>1963</v>
      </c>
      <c r="M31" s="209" t="s">
        <v>1964</v>
      </c>
    </row>
    <row r="32" spans="1:13" s="42" customFormat="1" ht="49.5" customHeight="1" thickTop="1" thickBot="1" x14ac:dyDescent="0.3">
      <c r="A32" s="290" t="s">
        <v>312</v>
      </c>
      <c r="B32" s="289" t="s">
        <v>285</v>
      </c>
      <c r="C32" s="289" t="s">
        <v>18</v>
      </c>
      <c r="D32" s="289">
        <v>3</v>
      </c>
      <c r="E32" s="289">
        <v>30</v>
      </c>
      <c r="F32" s="289">
        <v>3</v>
      </c>
      <c r="G32" s="289">
        <v>848</v>
      </c>
      <c r="H32" s="294">
        <v>480203409</v>
      </c>
      <c r="I32" s="294">
        <v>144588024</v>
      </c>
      <c r="J32" s="416" t="s">
        <v>313</v>
      </c>
      <c r="K32" s="291" t="s">
        <v>20</v>
      </c>
      <c r="L32" s="291">
        <v>400</v>
      </c>
      <c r="M32" s="292">
        <v>120</v>
      </c>
    </row>
    <row r="33" spans="1:13" s="42" customFormat="1" ht="33" customHeight="1" thickTop="1" thickBot="1" x14ac:dyDescent="0.3">
      <c r="A33" s="290" t="s">
        <v>312</v>
      </c>
      <c r="B33" s="289" t="s">
        <v>285</v>
      </c>
      <c r="C33" s="654" t="s">
        <v>53</v>
      </c>
      <c r="D33" s="291">
        <v>3</v>
      </c>
      <c r="E33" s="292">
        <v>30</v>
      </c>
      <c r="F33" s="292">
        <v>3</v>
      </c>
      <c r="G33" s="291">
        <v>520</v>
      </c>
      <c r="H33" s="294">
        <v>195339015</v>
      </c>
      <c r="I33" s="295">
        <v>0</v>
      </c>
      <c r="J33" s="426" t="s">
        <v>314</v>
      </c>
      <c r="K33" s="291" t="s">
        <v>25</v>
      </c>
      <c r="L33" s="291">
        <v>3</v>
      </c>
      <c r="M33" s="291">
        <v>0</v>
      </c>
    </row>
    <row r="34" spans="1:13" s="42" customFormat="1" ht="33" customHeight="1" thickTop="1" thickBot="1" x14ac:dyDescent="0.3">
      <c r="A34" s="290" t="s">
        <v>312</v>
      </c>
      <c r="B34" s="289" t="s">
        <v>285</v>
      </c>
      <c r="C34" s="654"/>
      <c r="D34" s="291">
        <v>3</v>
      </c>
      <c r="E34" s="292">
        <v>30</v>
      </c>
      <c r="F34" s="292">
        <v>3</v>
      </c>
      <c r="G34" s="291">
        <v>520</v>
      </c>
      <c r="H34" s="294">
        <v>205000000</v>
      </c>
      <c r="I34" s="295">
        <v>105576901</v>
      </c>
      <c r="J34" s="426" t="s">
        <v>315</v>
      </c>
      <c r="K34" s="291" t="s">
        <v>25</v>
      </c>
      <c r="L34" s="291">
        <v>8</v>
      </c>
      <c r="M34" s="291">
        <v>4</v>
      </c>
    </row>
    <row r="35" spans="1:13" s="42" customFormat="1" ht="33" customHeight="1" thickTop="1" thickBot="1" x14ac:dyDescent="0.3">
      <c r="A35" s="290" t="s">
        <v>312</v>
      </c>
      <c r="B35" s="289" t="s">
        <v>285</v>
      </c>
      <c r="C35" s="654"/>
      <c r="D35" s="291">
        <v>3</v>
      </c>
      <c r="E35" s="292">
        <v>30</v>
      </c>
      <c r="F35" s="292">
        <v>3</v>
      </c>
      <c r="G35" s="291">
        <v>520</v>
      </c>
      <c r="H35" s="294">
        <v>400000000</v>
      </c>
      <c r="I35" s="295">
        <v>199465179</v>
      </c>
      <c r="J35" s="426" t="s">
        <v>1992</v>
      </c>
      <c r="K35" s="291" t="s">
        <v>55</v>
      </c>
      <c r="L35" s="291">
        <v>4</v>
      </c>
      <c r="M35" s="291">
        <v>2</v>
      </c>
    </row>
    <row r="36" spans="1:13" s="42" customFormat="1" ht="30.75" customHeight="1" thickTop="1" thickBot="1" x14ac:dyDescent="0.3">
      <c r="A36" s="651" t="s">
        <v>312</v>
      </c>
      <c r="B36" s="651" t="s">
        <v>285</v>
      </c>
      <c r="C36" s="654" t="s">
        <v>90</v>
      </c>
      <c r="D36" s="289">
        <v>3</v>
      </c>
      <c r="E36" s="289">
        <v>30</v>
      </c>
      <c r="F36" s="289">
        <v>3</v>
      </c>
      <c r="G36" s="289">
        <v>520</v>
      </c>
      <c r="H36" s="294">
        <v>240000000</v>
      </c>
      <c r="I36" s="294">
        <v>220000000</v>
      </c>
      <c r="J36" s="416" t="s">
        <v>316</v>
      </c>
      <c r="K36" s="291" t="s">
        <v>11</v>
      </c>
      <c r="L36" s="291">
        <v>360</v>
      </c>
      <c r="M36" s="292">
        <v>331</v>
      </c>
    </row>
    <row r="37" spans="1:13" s="42" customFormat="1" ht="35.25" customHeight="1" thickTop="1" thickBot="1" x14ac:dyDescent="0.3">
      <c r="A37" s="653"/>
      <c r="B37" s="653"/>
      <c r="C37" s="654"/>
      <c r="D37" s="291">
        <v>3</v>
      </c>
      <c r="E37" s="291">
        <v>30</v>
      </c>
      <c r="F37" s="291">
        <v>3</v>
      </c>
      <c r="G37" s="291">
        <v>520</v>
      </c>
      <c r="H37" s="294">
        <v>80135606</v>
      </c>
      <c r="I37" s="294">
        <v>61974186</v>
      </c>
      <c r="J37" s="426" t="s">
        <v>317</v>
      </c>
      <c r="K37" s="291" t="s">
        <v>11</v>
      </c>
      <c r="L37" s="291">
        <v>180</v>
      </c>
      <c r="M37" s="292">
        <v>139</v>
      </c>
    </row>
    <row r="38" spans="1:13" s="42" customFormat="1" ht="13.5" customHeight="1" thickTop="1" thickBot="1" x14ac:dyDescent="0.3">
      <c r="A38" s="314"/>
      <c r="B38" s="260"/>
      <c r="C38" s="260"/>
    </row>
    <row r="39" spans="1:13" s="42" customFormat="1" ht="30" customHeight="1" thickTop="1" thickBot="1" x14ac:dyDescent="0.3">
      <c r="A39" s="639" t="s">
        <v>0</v>
      </c>
      <c r="B39" s="639" t="s">
        <v>1</v>
      </c>
      <c r="C39" s="639" t="s">
        <v>2569</v>
      </c>
      <c r="D39" s="636" t="s">
        <v>1961</v>
      </c>
      <c r="E39" s="637"/>
      <c r="F39" s="637"/>
      <c r="G39" s="638"/>
      <c r="H39" s="636" t="s">
        <v>3</v>
      </c>
      <c r="I39" s="637"/>
      <c r="J39" s="636" t="s">
        <v>1962</v>
      </c>
      <c r="K39" s="637"/>
      <c r="L39" s="637"/>
      <c r="M39" s="638"/>
    </row>
    <row r="40" spans="1:13" s="42" customFormat="1" ht="34.5" customHeight="1" thickTop="1" thickBot="1" x14ac:dyDescent="0.3">
      <c r="A40" s="640"/>
      <c r="B40" s="640"/>
      <c r="C40" s="640"/>
      <c r="D40" s="209" t="s">
        <v>4</v>
      </c>
      <c r="E40" s="209" t="s">
        <v>5</v>
      </c>
      <c r="F40" s="209" t="s">
        <v>6</v>
      </c>
      <c r="G40" s="209" t="s">
        <v>7</v>
      </c>
      <c r="H40" s="209" t="s">
        <v>2</v>
      </c>
      <c r="I40" s="209" t="s">
        <v>3</v>
      </c>
      <c r="J40" s="209" t="s">
        <v>8</v>
      </c>
      <c r="K40" s="209" t="s">
        <v>9</v>
      </c>
      <c r="L40" s="209" t="s">
        <v>1963</v>
      </c>
      <c r="M40" s="209" t="s">
        <v>1964</v>
      </c>
    </row>
    <row r="41" spans="1:13" s="42" customFormat="1" ht="39" customHeight="1" thickTop="1" thickBot="1" x14ac:dyDescent="0.3">
      <c r="A41" s="290" t="s">
        <v>318</v>
      </c>
      <c r="B41" s="289" t="s">
        <v>285</v>
      </c>
      <c r="C41" s="289" t="s">
        <v>18</v>
      </c>
      <c r="D41" s="289">
        <v>3</v>
      </c>
      <c r="E41" s="289">
        <v>30</v>
      </c>
      <c r="F41" s="289">
        <v>3</v>
      </c>
      <c r="G41" s="289">
        <v>848</v>
      </c>
      <c r="H41" s="294">
        <v>859842009</v>
      </c>
      <c r="I41" s="294">
        <v>341794700</v>
      </c>
      <c r="J41" s="416" t="s">
        <v>319</v>
      </c>
      <c r="K41" s="291" t="s">
        <v>20</v>
      </c>
      <c r="L41" s="291">
        <v>264</v>
      </c>
      <c r="M41" s="292">
        <v>264</v>
      </c>
    </row>
    <row r="42" spans="1:13" s="42" customFormat="1" ht="54" customHeight="1" thickTop="1" thickBot="1" x14ac:dyDescent="0.3">
      <c r="A42" s="290" t="s">
        <v>318</v>
      </c>
      <c r="B42" s="289" t="s">
        <v>285</v>
      </c>
      <c r="C42" s="289" t="s">
        <v>53</v>
      </c>
      <c r="D42" s="289">
        <v>3</v>
      </c>
      <c r="E42" s="289">
        <v>30</v>
      </c>
      <c r="F42" s="289">
        <v>3</v>
      </c>
      <c r="G42" s="289">
        <v>520</v>
      </c>
      <c r="H42" s="294">
        <v>860000000</v>
      </c>
      <c r="I42" s="294">
        <v>106713364</v>
      </c>
      <c r="J42" s="416" t="s">
        <v>320</v>
      </c>
      <c r="K42" s="291" t="s">
        <v>11</v>
      </c>
      <c r="L42" s="291">
        <v>5032</v>
      </c>
      <c r="M42" s="292">
        <v>2551.7750000000001</v>
      </c>
    </row>
    <row r="43" spans="1:13" s="42" customFormat="1" ht="16.5" thickTop="1" thickBot="1" x14ac:dyDescent="0.3">
      <c r="A43" s="314"/>
    </row>
    <row r="44" spans="1:13" s="42" customFormat="1" ht="30" customHeight="1" thickTop="1" thickBot="1" x14ac:dyDescent="0.3">
      <c r="A44" s="667" t="s">
        <v>0</v>
      </c>
      <c r="B44" s="639" t="s">
        <v>1</v>
      </c>
      <c r="C44" s="639" t="s">
        <v>2569</v>
      </c>
      <c r="D44" s="636" t="s">
        <v>1961</v>
      </c>
      <c r="E44" s="637"/>
      <c r="F44" s="637"/>
      <c r="G44" s="638"/>
      <c r="H44" s="636" t="s">
        <v>3</v>
      </c>
      <c r="I44" s="637"/>
      <c r="J44" s="636" t="s">
        <v>1962</v>
      </c>
      <c r="K44" s="637"/>
      <c r="L44" s="637"/>
      <c r="M44" s="638"/>
    </row>
    <row r="45" spans="1:13" s="42" customFormat="1" ht="34.5" customHeight="1" thickTop="1" thickBot="1" x14ac:dyDescent="0.3">
      <c r="A45" s="668"/>
      <c r="B45" s="640"/>
      <c r="C45" s="640"/>
      <c r="D45" s="209" t="s">
        <v>4</v>
      </c>
      <c r="E45" s="209" t="s">
        <v>5</v>
      </c>
      <c r="F45" s="209" t="s">
        <v>6</v>
      </c>
      <c r="G45" s="209" t="s">
        <v>7</v>
      </c>
      <c r="H45" s="209" t="s">
        <v>2</v>
      </c>
      <c r="I45" s="209" t="s">
        <v>3</v>
      </c>
      <c r="J45" s="209" t="s">
        <v>8</v>
      </c>
      <c r="K45" s="209" t="s">
        <v>9</v>
      </c>
      <c r="L45" s="209" t="s">
        <v>1963</v>
      </c>
      <c r="M45" s="209" t="s">
        <v>1964</v>
      </c>
    </row>
    <row r="46" spans="1:13" s="42" customFormat="1" ht="53.25" customHeight="1" thickTop="1" thickBot="1" x14ac:dyDescent="0.3">
      <c r="A46" s="290" t="s">
        <v>321</v>
      </c>
      <c r="B46" s="289" t="s">
        <v>285</v>
      </c>
      <c r="C46" s="289" t="s">
        <v>18</v>
      </c>
      <c r="D46" s="291">
        <v>3</v>
      </c>
      <c r="E46" s="291">
        <v>30</v>
      </c>
      <c r="F46" s="291">
        <v>3</v>
      </c>
      <c r="G46" s="291">
        <v>848</v>
      </c>
      <c r="H46" s="295">
        <v>449569071</v>
      </c>
      <c r="I46" s="295">
        <v>179987580</v>
      </c>
      <c r="J46" s="416" t="s">
        <v>322</v>
      </c>
      <c r="K46" s="291" t="s">
        <v>20</v>
      </c>
      <c r="L46" s="292">
        <v>2500</v>
      </c>
      <c r="M46" s="292">
        <v>1300</v>
      </c>
    </row>
    <row r="47" spans="1:13" s="42" customFormat="1" ht="41.25" customHeight="1" thickTop="1" thickBot="1" x14ac:dyDescent="0.3">
      <c r="A47" s="290" t="s">
        <v>321</v>
      </c>
      <c r="B47" s="289" t="s">
        <v>285</v>
      </c>
      <c r="C47" s="654" t="s">
        <v>300</v>
      </c>
      <c r="D47" s="291">
        <v>3</v>
      </c>
      <c r="E47" s="291">
        <v>30</v>
      </c>
      <c r="F47" s="291">
        <v>3</v>
      </c>
      <c r="G47" s="291">
        <v>520</v>
      </c>
      <c r="H47" s="295">
        <v>85252789</v>
      </c>
      <c r="I47" s="295">
        <v>85252789</v>
      </c>
      <c r="J47" s="416" t="s">
        <v>323</v>
      </c>
      <c r="K47" s="291" t="s">
        <v>276</v>
      </c>
      <c r="L47" s="292">
        <v>1</v>
      </c>
      <c r="M47" s="292">
        <v>1</v>
      </c>
    </row>
    <row r="48" spans="1:13" s="42" customFormat="1" ht="42.75" customHeight="1" thickTop="1" thickBot="1" x14ac:dyDescent="0.3">
      <c r="A48" s="290" t="s">
        <v>321</v>
      </c>
      <c r="B48" s="289" t="s">
        <v>285</v>
      </c>
      <c r="C48" s="654"/>
      <c r="D48" s="291">
        <v>3</v>
      </c>
      <c r="E48" s="291">
        <v>30</v>
      </c>
      <c r="F48" s="291">
        <v>3</v>
      </c>
      <c r="G48" s="291">
        <v>520</v>
      </c>
      <c r="H48" s="295">
        <v>119652291</v>
      </c>
      <c r="I48" s="295">
        <v>119652291</v>
      </c>
      <c r="J48" s="416" t="s">
        <v>324</v>
      </c>
      <c r="K48" s="291" t="s">
        <v>276</v>
      </c>
      <c r="L48" s="292">
        <v>1</v>
      </c>
      <c r="M48" s="292">
        <v>1</v>
      </c>
    </row>
    <row r="49" spans="1:13" s="42" customFormat="1" ht="42.75" customHeight="1" thickTop="1" thickBot="1" x14ac:dyDescent="0.3">
      <c r="A49" s="290" t="s">
        <v>321</v>
      </c>
      <c r="B49" s="289" t="s">
        <v>285</v>
      </c>
      <c r="C49" s="654"/>
      <c r="D49" s="291">
        <v>3</v>
      </c>
      <c r="E49" s="291">
        <v>30</v>
      </c>
      <c r="F49" s="291">
        <v>3</v>
      </c>
      <c r="G49" s="291">
        <v>520</v>
      </c>
      <c r="H49" s="295">
        <v>215069267</v>
      </c>
      <c r="I49" s="295">
        <v>0</v>
      </c>
      <c r="J49" s="416" t="s">
        <v>325</v>
      </c>
      <c r="K49" s="291" t="s">
        <v>55</v>
      </c>
      <c r="L49" s="292">
        <v>3</v>
      </c>
      <c r="M49" s="292">
        <v>0</v>
      </c>
    </row>
    <row r="50" spans="1:13" s="42" customFormat="1" ht="36.75" customHeight="1" thickTop="1" thickBot="1" x14ac:dyDescent="0.3">
      <c r="A50" s="290" t="s">
        <v>321</v>
      </c>
      <c r="B50" s="289" t="s">
        <v>285</v>
      </c>
      <c r="C50" s="654"/>
      <c r="D50" s="291">
        <v>3</v>
      </c>
      <c r="E50" s="291">
        <v>30</v>
      </c>
      <c r="F50" s="291">
        <v>3</v>
      </c>
      <c r="G50" s="291">
        <v>520</v>
      </c>
      <c r="H50" s="295">
        <v>130348000</v>
      </c>
      <c r="I50" s="295">
        <v>93452200</v>
      </c>
      <c r="J50" s="416" t="s">
        <v>326</v>
      </c>
      <c r="K50" s="291" t="s">
        <v>55</v>
      </c>
      <c r="L50" s="292">
        <v>1</v>
      </c>
      <c r="M50" s="292">
        <v>1</v>
      </c>
    </row>
    <row r="51" spans="1:13" s="42" customFormat="1" ht="36.75" customHeight="1" thickTop="1" thickBot="1" x14ac:dyDescent="0.3">
      <c r="A51" s="290" t="s">
        <v>321</v>
      </c>
      <c r="B51" s="289" t="s">
        <v>285</v>
      </c>
      <c r="C51" s="654"/>
      <c r="D51" s="291">
        <v>3</v>
      </c>
      <c r="E51" s="291">
        <v>30</v>
      </c>
      <c r="F51" s="291">
        <v>3</v>
      </c>
      <c r="G51" s="291">
        <v>520</v>
      </c>
      <c r="H51" s="295" t="s">
        <v>327</v>
      </c>
      <c r="I51" s="295">
        <v>59745100</v>
      </c>
      <c r="J51" s="416" t="s">
        <v>328</v>
      </c>
      <c r="K51" s="291" t="s">
        <v>55</v>
      </c>
      <c r="L51" s="292">
        <v>1</v>
      </c>
      <c r="M51" s="292">
        <v>1</v>
      </c>
    </row>
    <row r="52" spans="1:13" s="42" customFormat="1" ht="42.75" customHeight="1" thickTop="1" thickBot="1" x14ac:dyDescent="0.3">
      <c r="A52" s="290" t="s">
        <v>321</v>
      </c>
      <c r="B52" s="289" t="s">
        <v>285</v>
      </c>
      <c r="C52" s="654"/>
      <c r="D52" s="291">
        <v>3</v>
      </c>
      <c r="E52" s="291">
        <v>30</v>
      </c>
      <c r="F52" s="291">
        <v>3</v>
      </c>
      <c r="G52" s="291">
        <v>520</v>
      </c>
      <c r="H52" s="295">
        <v>128403068</v>
      </c>
      <c r="I52" s="295">
        <v>38520920</v>
      </c>
      <c r="J52" s="416" t="s">
        <v>329</v>
      </c>
      <c r="K52" s="291" t="s">
        <v>55</v>
      </c>
      <c r="L52" s="292">
        <v>1</v>
      </c>
      <c r="M52" s="292">
        <v>1</v>
      </c>
    </row>
    <row r="53" spans="1:13" s="42" customFormat="1" ht="35.25" customHeight="1" thickTop="1" thickBot="1" x14ac:dyDescent="0.3">
      <c r="A53" s="290" t="s">
        <v>321</v>
      </c>
      <c r="B53" s="289" t="s">
        <v>285</v>
      </c>
      <c r="C53" s="654"/>
      <c r="D53" s="291">
        <v>3</v>
      </c>
      <c r="E53" s="291">
        <v>30</v>
      </c>
      <c r="F53" s="291">
        <v>3</v>
      </c>
      <c r="G53" s="291">
        <v>520</v>
      </c>
      <c r="H53" s="295">
        <v>47057407</v>
      </c>
      <c r="I53" s="295">
        <v>0</v>
      </c>
      <c r="J53" s="416" t="s">
        <v>1974</v>
      </c>
      <c r="K53" s="291" t="s">
        <v>11</v>
      </c>
      <c r="L53" s="292">
        <v>2600</v>
      </c>
      <c r="M53" s="292">
        <v>0</v>
      </c>
    </row>
    <row r="54" spans="1:13" s="42" customFormat="1" ht="45" customHeight="1" thickTop="1" thickBot="1" x14ac:dyDescent="0.3">
      <c r="A54" s="290" t="s">
        <v>321</v>
      </c>
      <c r="B54" s="289" t="s">
        <v>285</v>
      </c>
      <c r="C54" s="289" t="s">
        <v>90</v>
      </c>
      <c r="D54" s="291">
        <v>3</v>
      </c>
      <c r="E54" s="291">
        <v>30</v>
      </c>
      <c r="F54" s="291">
        <v>3</v>
      </c>
      <c r="G54" s="291">
        <v>540</v>
      </c>
      <c r="H54" s="295">
        <v>242668380</v>
      </c>
      <c r="I54" s="295">
        <v>129991200</v>
      </c>
      <c r="J54" s="416" t="s">
        <v>330</v>
      </c>
      <c r="K54" s="291" t="s">
        <v>17</v>
      </c>
      <c r="L54" s="292">
        <v>180</v>
      </c>
      <c r="M54" s="292">
        <v>100</v>
      </c>
    </row>
    <row r="55" spans="1:13" s="42" customFormat="1" ht="16.5" thickTop="1" thickBot="1" x14ac:dyDescent="0.3">
      <c r="A55" s="314"/>
    </row>
    <row r="56" spans="1:13" s="42" customFormat="1" ht="30" customHeight="1" thickTop="1" thickBot="1" x14ac:dyDescent="0.3">
      <c r="A56" s="639" t="s">
        <v>0</v>
      </c>
      <c r="B56" s="639" t="s">
        <v>1</v>
      </c>
      <c r="C56" s="639" t="s">
        <v>2569</v>
      </c>
      <c r="D56" s="636" t="s">
        <v>1961</v>
      </c>
      <c r="E56" s="637"/>
      <c r="F56" s="637"/>
      <c r="G56" s="638"/>
      <c r="H56" s="636" t="s">
        <v>3</v>
      </c>
      <c r="I56" s="637"/>
      <c r="J56" s="636" t="s">
        <v>1962</v>
      </c>
      <c r="K56" s="637"/>
      <c r="L56" s="637"/>
      <c r="M56" s="638"/>
    </row>
    <row r="57" spans="1:13" s="42" customFormat="1" ht="35.25" customHeight="1" thickTop="1" thickBot="1" x14ac:dyDescent="0.3">
      <c r="A57" s="640"/>
      <c r="B57" s="640"/>
      <c r="C57" s="640"/>
      <c r="D57" s="209" t="s">
        <v>4</v>
      </c>
      <c r="E57" s="209" t="s">
        <v>5</v>
      </c>
      <c r="F57" s="209" t="s">
        <v>6</v>
      </c>
      <c r="G57" s="209" t="s">
        <v>7</v>
      </c>
      <c r="H57" s="209" t="s">
        <v>2</v>
      </c>
      <c r="I57" s="209" t="s">
        <v>3</v>
      </c>
      <c r="J57" s="209" t="s">
        <v>8</v>
      </c>
      <c r="K57" s="209" t="s">
        <v>9</v>
      </c>
      <c r="L57" s="209" t="s">
        <v>1963</v>
      </c>
      <c r="M57" s="209" t="s">
        <v>1964</v>
      </c>
    </row>
    <row r="58" spans="1:13" s="42" customFormat="1" ht="51" customHeight="1" thickTop="1" thickBot="1" x14ac:dyDescent="0.3">
      <c r="A58" s="290" t="s">
        <v>331</v>
      </c>
      <c r="B58" s="289" t="s">
        <v>285</v>
      </c>
      <c r="C58" s="654" t="s">
        <v>53</v>
      </c>
      <c r="D58" s="291">
        <v>3</v>
      </c>
      <c r="E58" s="291">
        <v>30</v>
      </c>
      <c r="F58" s="291">
        <v>3</v>
      </c>
      <c r="G58" s="291">
        <v>848</v>
      </c>
      <c r="H58" s="294">
        <f>342640424+144585644</f>
        <v>487226068</v>
      </c>
      <c r="I58" s="294">
        <v>331890000</v>
      </c>
      <c r="J58" s="416" t="s">
        <v>333</v>
      </c>
      <c r="K58" s="291" t="s">
        <v>20</v>
      </c>
      <c r="L58" s="292">
        <v>3097</v>
      </c>
      <c r="M58" s="292">
        <v>2109</v>
      </c>
    </row>
    <row r="59" spans="1:13" s="42" customFormat="1" ht="37.5" customHeight="1" thickTop="1" thickBot="1" x14ac:dyDescent="0.3">
      <c r="A59" s="290" t="s">
        <v>331</v>
      </c>
      <c r="B59" s="289" t="s">
        <v>285</v>
      </c>
      <c r="C59" s="654"/>
      <c r="D59" s="291">
        <v>3</v>
      </c>
      <c r="E59" s="291">
        <v>30</v>
      </c>
      <c r="F59" s="291">
        <v>3</v>
      </c>
      <c r="G59" s="291">
        <v>520</v>
      </c>
      <c r="H59" s="294">
        <f>375536177-77996811</f>
        <v>297539366</v>
      </c>
      <c r="I59" s="294">
        <v>271086501</v>
      </c>
      <c r="J59" s="416" t="s">
        <v>334</v>
      </c>
      <c r="K59" s="291" t="s">
        <v>55</v>
      </c>
      <c r="L59" s="292">
        <v>4</v>
      </c>
      <c r="M59" s="292">
        <v>2</v>
      </c>
    </row>
    <row r="60" spans="1:13" s="42" customFormat="1" ht="37.5" customHeight="1" thickTop="1" thickBot="1" x14ac:dyDescent="0.3">
      <c r="A60" s="290" t="s">
        <v>331</v>
      </c>
      <c r="B60" s="289" t="s">
        <v>285</v>
      </c>
      <c r="C60" s="654"/>
      <c r="D60" s="291">
        <v>3</v>
      </c>
      <c r="E60" s="291">
        <v>30</v>
      </c>
      <c r="F60" s="291">
        <v>3</v>
      </c>
      <c r="G60" s="291">
        <v>520</v>
      </c>
      <c r="H60" s="294">
        <v>95886051</v>
      </c>
      <c r="I60" s="294">
        <v>50298020</v>
      </c>
      <c r="J60" s="416" t="s">
        <v>335</v>
      </c>
      <c r="K60" s="291" t="s">
        <v>25</v>
      </c>
      <c r="L60" s="292">
        <v>4</v>
      </c>
      <c r="M60" s="292">
        <v>1</v>
      </c>
    </row>
    <row r="61" spans="1:13" s="42" customFormat="1" ht="39.75" customHeight="1" thickTop="1" thickBot="1" x14ac:dyDescent="0.3">
      <c r="A61" s="290" t="s">
        <v>331</v>
      </c>
      <c r="B61" s="289" t="s">
        <v>285</v>
      </c>
      <c r="C61" s="654"/>
      <c r="D61" s="291">
        <v>3</v>
      </c>
      <c r="E61" s="291">
        <v>30</v>
      </c>
      <c r="F61" s="291">
        <v>3</v>
      </c>
      <c r="G61" s="291">
        <v>520</v>
      </c>
      <c r="H61" s="294">
        <f>407554708+337366504</f>
        <v>744921212</v>
      </c>
      <c r="I61" s="294">
        <f>55197922+219959865</f>
        <v>275157787</v>
      </c>
      <c r="J61" s="416" t="s">
        <v>336</v>
      </c>
      <c r="K61" s="291" t="s">
        <v>55</v>
      </c>
      <c r="L61" s="292">
        <v>17</v>
      </c>
      <c r="M61" s="292">
        <v>6</v>
      </c>
    </row>
    <row r="62" spans="1:13" s="42" customFormat="1" ht="45.75" customHeight="1" thickTop="1" thickBot="1" x14ac:dyDescent="0.3">
      <c r="A62" s="290" t="s">
        <v>331</v>
      </c>
      <c r="B62" s="289" t="s">
        <v>285</v>
      </c>
      <c r="C62" s="654"/>
      <c r="D62" s="291">
        <v>3</v>
      </c>
      <c r="E62" s="291">
        <v>30</v>
      </c>
      <c r="F62" s="291">
        <v>3</v>
      </c>
      <c r="G62" s="291">
        <v>520</v>
      </c>
      <c r="H62" s="294">
        <v>77996811</v>
      </c>
      <c r="I62" s="294">
        <v>77996811</v>
      </c>
      <c r="J62" s="416" t="s">
        <v>332</v>
      </c>
      <c r="K62" s="291" t="s">
        <v>11</v>
      </c>
      <c r="L62" s="292">
        <v>643</v>
      </c>
      <c r="M62" s="292">
        <v>643</v>
      </c>
    </row>
    <row r="63" spans="1:13" s="42" customFormat="1" ht="16.5" customHeight="1" thickTop="1" thickBot="1" x14ac:dyDescent="0.3">
      <c r="A63" s="314"/>
    </row>
    <row r="64" spans="1:13" s="42" customFormat="1" ht="30" customHeight="1" thickTop="1" thickBot="1" x14ac:dyDescent="0.3">
      <c r="A64" s="639" t="s">
        <v>0</v>
      </c>
      <c r="B64" s="639" t="s">
        <v>1</v>
      </c>
      <c r="C64" s="639" t="s">
        <v>2569</v>
      </c>
      <c r="D64" s="636" t="s">
        <v>1961</v>
      </c>
      <c r="E64" s="637"/>
      <c r="F64" s="637"/>
      <c r="G64" s="638"/>
      <c r="H64" s="636" t="s">
        <v>3</v>
      </c>
      <c r="I64" s="637"/>
      <c r="J64" s="636" t="s">
        <v>1962</v>
      </c>
      <c r="K64" s="637"/>
      <c r="L64" s="637"/>
      <c r="M64" s="638"/>
    </row>
    <row r="65" spans="1:13" s="42" customFormat="1" ht="34.5" customHeight="1" thickTop="1" thickBot="1" x14ac:dyDescent="0.3">
      <c r="A65" s="640"/>
      <c r="B65" s="640"/>
      <c r="C65" s="640"/>
      <c r="D65" s="209" t="s">
        <v>4</v>
      </c>
      <c r="E65" s="209" t="s">
        <v>5</v>
      </c>
      <c r="F65" s="209" t="s">
        <v>6</v>
      </c>
      <c r="G65" s="209" t="s">
        <v>7</v>
      </c>
      <c r="H65" s="209" t="s">
        <v>2</v>
      </c>
      <c r="I65" s="209" t="s">
        <v>3</v>
      </c>
      <c r="J65" s="209" t="s">
        <v>8</v>
      </c>
      <c r="K65" s="209" t="s">
        <v>9</v>
      </c>
      <c r="L65" s="209" t="s">
        <v>1963</v>
      </c>
      <c r="M65" s="209" t="s">
        <v>1964</v>
      </c>
    </row>
    <row r="66" spans="1:13" s="42" customFormat="1" ht="48.75" customHeight="1" thickTop="1" thickBot="1" x14ac:dyDescent="0.3">
      <c r="A66" s="290" t="s">
        <v>2501</v>
      </c>
      <c r="B66" s="289" t="s">
        <v>285</v>
      </c>
      <c r="C66" s="289" t="s">
        <v>18</v>
      </c>
      <c r="D66" s="291">
        <v>3</v>
      </c>
      <c r="E66" s="291">
        <v>30</v>
      </c>
      <c r="F66" s="291">
        <v>3</v>
      </c>
      <c r="G66" s="291">
        <v>848</v>
      </c>
      <c r="H66" s="295">
        <v>804217568</v>
      </c>
      <c r="I66" s="295">
        <v>587536850</v>
      </c>
      <c r="J66" s="416" t="s">
        <v>337</v>
      </c>
      <c r="K66" s="291" t="s">
        <v>20</v>
      </c>
      <c r="L66" s="292">
        <v>266</v>
      </c>
      <c r="M66" s="292">
        <v>266</v>
      </c>
    </row>
    <row r="67" spans="1:13" s="42" customFormat="1" ht="33.75" customHeight="1" thickTop="1" thickBot="1" x14ac:dyDescent="0.3">
      <c r="A67" s="625" t="s">
        <v>2501</v>
      </c>
      <c r="B67" s="289" t="s">
        <v>285</v>
      </c>
      <c r="C67" s="654" t="s">
        <v>53</v>
      </c>
      <c r="D67" s="291">
        <v>3</v>
      </c>
      <c r="E67" s="291">
        <v>30</v>
      </c>
      <c r="F67" s="291">
        <v>3</v>
      </c>
      <c r="G67" s="291">
        <v>520</v>
      </c>
      <c r="H67" s="295">
        <v>90000000</v>
      </c>
      <c r="I67" s="295">
        <v>0</v>
      </c>
      <c r="J67" s="416" t="s">
        <v>338</v>
      </c>
      <c r="K67" s="291" t="s">
        <v>96</v>
      </c>
      <c r="L67" s="292">
        <v>1</v>
      </c>
      <c r="M67" s="292">
        <v>0</v>
      </c>
    </row>
    <row r="68" spans="1:13" s="42" customFormat="1" ht="33.75" customHeight="1" thickTop="1" thickBot="1" x14ac:dyDescent="0.3">
      <c r="A68" s="625" t="s">
        <v>2501</v>
      </c>
      <c r="B68" s="289" t="s">
        <v>285</v>
      </c>
      <c r="C68" s="654"/>
      <c r="D68" s="291">
        <v>3</v>
      </c>
      <c r="E68" s="291">
        <v>30</v>
      </c>
      <c r="F68" s="291">
        <v>3</v>
      </c>
      <c r="G68" s="291">
        <v>520</v>
      </c>
      <c r="H68" s="295">
        <v>152077478</v>
      </c>
      <c r="I68" s="295">
        <v>42522100</v>
      </c>
      <c r="J68" s="416" t="s">
        <v>339</v>
      </c>
      <c r="K68" s="291" t="s">
        <v>13</v>
      </c>
      <c r="L68" s="292">
        <v>4</v>
      </c>
      <c r="M68" s="292">
        <v>1</v>
      </c>
    </row>
    <row r="69" spans="1:13" s="42" customFormat="1" ht="33.75" customHeight="1" thickTop="1" thickBot="1" x14ac:dyDescent="0.3">
      <c r="A69" s="625" t="s">
        <v>2501</v>
      </c>
      <c r="B69" s="289" t="s">
        <v>285</v>
      </c>
      <c r="C69" s="651" t="s">
        <v>90</v>
      </c>
      <c r="D69" s="291">
        <v>3</v>
      </c>
      <c r="E69" s="291">
        <v>30</v>
      </c>
      <c r="F69" s="291">
        <v>3</v>
      </c>
      <c r="G69" s="291">
        <v>520</v>
      </c>
      <c r="H69" s="295">
        <v>230877669</v>
      </c>
      <c r="I69" s="295">
        <v>0</v>
      </c>
      <c r="J69" s="416" t="s">
        <v>340</v>
      </c>
      <c r="K69" s="291" t="s">
        <v>11</v>
      </c>
      <c r="L69" s="292">
        <v>4198</v>
      </c>
      <c r="M69" s="292">
        <v>0</v>
      </c>
    </row>
    <row r="70" spans="1:13" s="42" customFormat="1" ht="33.75" customHeight="1" thickTop="1" thickBot="1" x14ac:dyDescent="0.3">
      <c r="A70" s="625" t="s">
        <v>2501</v>
      </c>
      <c r="B70" s="289" t="s">
        <v>285</v>
      </c>
      <c r="C70" s="653"/>
      <c r="D70" s="291">
        <v>3</v>
      </c>
      <c r="E70" s="291">
        <v>30</v>
      </c>
      <c r="F70" s="291">
        <v>3</v>
      </c>
      <c r="G70" s="291">
        <v>530</v>
      </c>
      <c r="H70" s="295">
        <v>1000000</v>
      </c>
      <c r="I70" s="295">
        <v>0</v>
      </c>
      <c r="J70" s="416" t="s">
        <v>341</v>
      </c>
      <c r="K70" s="291" t="s">
        <v>17</v>
      </c>
      <c r="L70" s="292">
        <v>1</v>
      </c>
      <c r="M70" s="292">
        <v>0</v>
      </c>
    </row>
    <row r="71" spans="1:13" s="42" customFormat="1" ht="35.25" customHeight="1" thickTop="1" thickBot="1" x14ac:dyDescent="0.3">
      <c r="A71" s="625" t="s">
        <v>2501</v>
      </c>
      <c r="B71" s="289" t="s">
        <v>285</v>
      </c>
      <c r="C71" s="413" t="s">
        <v>105</v>
      </c>
      <c r="D71" s="291">
        <v>3</v>
      </c>
      <c r="E71" s="291">
        <v>30</v>
      </c>
      <c r="F71" s="291">
        <v>3</v>
      </c>
      <c r="G71" s="291">
        <v>540</v>
      </c>
      <c r="H71" s="295">
        <v>124000000</v>
      </c>
      <c r="I71" s="295">
        <v>123010000</v>
      </c>
      <c r="J71" s="416" t="s">
        <v>342</v>
      </c>
      <c r="K71" s="291" t="s">
        <v>17</v>
      </c>
      <c r="L71" s="292">
        <v>704</v>
      </c>
      <c r="M71" s="292">
        <v>704</v>
      </c>
    </row>
    <row r="72" spans="1:13" s="42" customFormat="1" ht="33.75" customHeight="1" thickTop="1" thickBot="1" x14ac:dyDescent="0.3">
      <c r="A72" s="625" t="s">
        <v>2501</v>
      </c>
      <c r="B72" s="289" t="s">
        <v>285</v>
      </c>
      <c r="C72" s="651" t="s">
        <v>53</v>
      </c>
      <c r="D72" s="291">
        <v>3</v>
      </c>
      <c r="E72" s="291">
        <v>30</v>
      </c>
      <c r="F72" s="291">
        <v>3</v>
      </c>
      <c r="G72" s="291">
        <v>590</v>
      </c>
      <c r="H72" s="295">
        <v>1000000</v>
      </c>
      <c r="I72" s="295">
        <v>0</v>
      </c>
      <c r="J72" s="416" t="s">
        <v>343</v>
      </c>
      <c r="K72" s="262" t="s">
        <v>128</v>
      </c>
      <c r="L72" s="292">
        <v>1</v>
      </c>
      <c r="M72" s="292">
        <v>0</v>
      </c>
    </row>
    <row r="73" spans="1:13" s="42" customFormat="1" ht="68.25" customHeight="1" thickTop="1" thickBot="1" x14ac:dyDescent="0.3">
      <c r="A73" s="625" t="s">
        <v>2501</v>
      </c>
      <c r="B73" s="289" t="s">
        <v>285</v>
      </c>
      <c r="C73" s="653"/>
      <c r="D73" s="291">
        <v>3</v>
      </c>
      <c r="E73" s="291">
        <v>30</v>
      </c>
      <c r="F73" s="291">
        <v>3</v>
      </c>
      <c r="G73" s="291">
        <v>980</v>
      </c>
      <c r="H73" s="295">
        <v>390884060</v>
      </c>
      <c r="I73" s="295">
        <v>355000000</v>
      </c>
      <c r="J73" s="416" t="s">
        <v>344</v>
      </c>
      <c r="K73" s="291" t="s">
        <v>16</v>
      </c>
      <c r="L73" s="292">
        <v>5</v>
      </c>
      <c r="M73" s="292">
        <v>5</v>
      </c>
    </row>
    <row r="74" spans="1:13" s="42" customFormat="1" ht="16.5" thickTop="1" thickBot="1" x14ac:dyDescent="0.3">
      <c r="A74" s="314"/>
    </row>
    <row r="75" spans="1:13" s="42" customFormat="1" ht="30" customHeight="1" thickTop="1" thickBot="1" x14ac:dyDescent="0.3">
      <c r="A75" s="639" t="s">
        <v>0</v>
      </c>
      <c r="B75" s="639" t="s">
        <v>1</v>
      </c>
      <c r="C75" s="639" t="s">
        <v>2569</v>
      </c>
      <c r="D75" s="636" t="s">
        <v>1961</v>
      </c>
      <c r="E75" s="637"/>
      <c r="F75" s="637"/>
      <c r="G75" s="638"/>
      <c r="H75" s="636" t="s">
        <v>3</v>
      </c>
      <c r="I75" s="637"/>
      <c r="J75" s="636" t="s">
        <v>1962</v>
      </c>
      <c r="K75" s="637"/>
      <c r="L75" s="637"/>
      <c r="M75" s="638"/>
    </row>
    <row r="76" spans="1:13" s="42" customFormat="1" ht="34.5" customHeight="1" thickTop="1" thickBot="1" x14ac:dyDescent="0.3">
      <c r="A76" s="640"/>
      <c r="B76" s="640"/>
      <c r="C76" s="640"/>
      <c r="D76" s="209" t="s">
        <v>4</v>
      </c>
      <c r="E76" s="209" t="s">
        <v>5</v>
      </c>
      <c r="F76" s="209" t="s">
        <v>6</v>
      </c>
      <c r="G76" s="209" t="s">
        <v>7</v>
      </c>
      <c r="H76" s="209" t="s">
        <v>2</v>
      </c>
      <c r="I76" s="209" t="s">
        <v>3</v>
      </c>
      <c r="J76" s="209" t="s">
        <v>8</v>
      </c>
      <c r="K76" s="209" t="s">
        <v>9</v>
      </c>
      <c r="L76" s="209" t="s">
        <v>1963</v>
      </c>
      <c r="M76" s="209" t="s">
        <v>1964</v>
      </c>
    </row>
    <row r="77" spans="1:13" s="42" customFormat="1" ht="50.25" customHeight="1" thickTop="1" thickBot="1" x14ac:dyDescent="0.3">
      <c r="A77" s="290" t="s">
        <v>2502</v>
      </c>
      <c r="B77" s="289" t="s">
        <v>285</v>
      </c>
      <c r="C77" s="289" t="s">
        <v>18</v>
      </c>
      <c r="D77" s="289">
        <v>3</v>
      </c>
      <c r="E77" s="289">
        <v>30</v>
      </c>
      <c r="F77" s="289">
        <v>3</v>
      </c>
      <c r="G77" s="289">
        <v>848</v>
      </c>
      <c r="H77" s="296">
        <v>388756361</v>
      </c>
      <c r="I77" s="296">
        <v>293482500</v>
      </c>
      <c r="J77" s="416" t="s">
        <v>345</v>
      </c>
      <c r="K77" s="291" t="s">
        <v>20</v>
      </c>
      <c r="L77" s="297">
        <v>771</v>
      </c>
      <c r="M77" s="297">
        <v>580</v>
      </c>
    </row>
    <row r="78" spans="1:13" s="42" customFormat="1" ht="38.25" customHeight="1" thickTop="1" thickBot="1" x14ac:dyDescent="0.3">
      <c r="A78" s="625" t="s">
        <v>2502</v>
      </c>
      <c r="B78" s="289" t="s">
        <v>285</v>
      </c>
      <c r="C78" s="654" t="s">
        <v>53</v>
      </c>
      <c r="D78" s="289">
        <v>3</v>
      </c>
      <c r="E78" s="289">
        <v>30</v>
      </c>
      <c r="F78" s="289">
        <v>3</v>
      </c>
      <c r="G78" s="289">
        <v>520</v>
      </c>
      <c r="H78" s="296">
        <f>461235445-79500000-326735445</f>
        <v>55000000</v>
      </c>
      <c r="I78" s="296">
        <v>53186739</v>
      </c>
      <c r="J78" s="416" t="s">
        <v>346</v>
      </c>
      <c r="K78" s="291" t="s">
        <v>55</v>
      </c>
      <c r="L78" s="297">
        <v>1</v>
      </c>
      <c r="M78" s="297">
        <v>1</v>
      </c>
    </row>
    <row r="79" spans="1:13" s="42" customFormat="1" ht="38.25" customHeight="1" thickTop="1" thickBot="1" x14ac:dyDescent="0.3">
      <c r="A79" s="625" t="s">
        <v>2502</v>
      </c>
      <c r="B79" s="289" t="s">
        <v>285</v>
      </c>
      <c r="C79" s="654"/>
      <c r="D79" s="289">
        <v>3</v>
      </c>
      <c r="E79" s="289">
        <v>30</v>
      </c>
      <c r="F79" s="289">
        <v>3</v>
      </c>
      <c r="G79" s="289">
        <v>520</v>
      </c>
      <c r="H79" s="296">
        <f>326745666+79489779-79500000+260862730</f>
        <v>587598175</v>
      </c>
      <c r="I79" s="296">
        <f>281101000-14510130</f>
        <v>266590870</v>
      </c>
      <c r="J79" s="416" t="s">
        <v>347</v>
      </c>
      <c r="K79" s="291" t="s">
        <v>55</v>
      </c>
      <c r="L79" s="297">
        <v>7</v>
      </c>
      <c r="M79" s="297">
        <v>3</v>
      </c>
    </row>
    <row r="80" spans="1:13" s="42" customFormat="1" ht="45.75" customHeight="1" thickTop="1" thickBot="1" x14ac:dyDescent="0.3">
      <c r="A80" s="625" t="s">
        <v>2502</v>
      </c>
      <c r="B80" s="289" t="s">
        <v>285</v>
      </c>
      <c r="C80" s="654"/>
      <c r="D80" s="289">
        <v>3</v>
      </c>
      <c r="E80" s="289">
        <v>30</v>
      </c>
      <c r="F80" s="289">
        <v>3</v>
      </c>
      <c r="G80" s="289">
        <v>520</v>
      </c>
      <c r="H80" s="296">
        <v>79500000</v>
      </c>
      <c r="I80" s="296">
        <v>79500000</v>
      </c>
      <c r="J80" s="416" t="s">
        <v>348</v>
      </c>
      <c r="K80" s="291" t="s">
        <v>11</v>
      </c>
      <c r="L80" s="299">
        <v>30000</v>
      </c>
      <c r="M80" s="299">
        <v>30000</v>
      </c>
    </row>
    <row r="81" spans="1:13" s="42" customFormat="1" ht="45.75" customHeight="1" thickTop="1" thickBot="1" x14ac:dyDescent="0.3">
      <c r="A81" s="625" t="s">
        <v>2502</v>
      </c>
      <c r="B81" s="289" t="s">
        <v>285</v>
      </c>
      <c r="C81" s="654"/>
      <c r="D81" s="289">
        <v>3</v>
      </c>
      <c r="E81" s="289">
        <v>30</v>
      </c>
      <c r="F81" s="289">
        <v>3</v>
      </c>
      <c r="G81" s="289">
        <v>540</v>
      </c>
      <c r="H81" s="296">
        <v>185000000</v>
      </c>
      <c r="I81" s="296">
        <v>84550000</v>
      </c>
      <c r="J81" s="416" t="s">
        <v>349</v>
      </c>
      <c r="K81" s="291" t="s">
        <v>350</v>
      </c>
      <c r="L81" s="297">
        <v>650</v>
      </c>
      <c r="M81" s="297">
        <v>300</v>
      </c>
    </row>
    <row r="82" spans="1:13" s="42" customFormat="1" ht="16.5" thickTop="1" thickBot="1" x14ac:dyDescent="0.3">
      <c r="A82" s="314"/>
    </row>
    <row r="83" spans="1:13" s="42" customFormat="1" ht="30" customHeight="1" thickTop="1" thickBot="1" x14ac:dyDescent="0.3">
      <c r="A83" s="639" t="s">
        <v>0</v>
      </c>
      <c r="B83" s="639" t="s">
        <v>1</v>
      </c>
      <c r="C83" s="639" t="s">
        <v>2569</v>
      </c>
      <c r="D83" s="636" t="s">
        <v>1961</v>
      </c>
      <c r="E83" s="637"/>
      <c r="F83" s="637"/>
      <c r="G83" s="638"/>
      <c r="H83" s="636" t="s">
        <v>3</v>
      </c>
      <c r="I83" s="637"/>
      <c r="J83" s="636" t="s">
        <v>1962</v>
      </c>
      <c r="K83" s="637"/>
      <c r="L83" s="637"/>
      <c r="M83" s="638"/>
    </row>
    <row r="84" spans="1:13" s="42" customFormat="1" ht="35.25" customHeight="1" thickTop="1" thickBot="1" x14ac:dyDescent="0.3">
      <c r="A84" s="640"/>
      <c r="B84" s="640"/>
      <c r="C84" s="640"/>
      <c r="D84" s="209" t="s">
        <v>4</v>
      </c>
      <c r="E84" s="209" t="s">
        <v>5</v>
      </c>
      <c r="F84" s="209" t="s">
        <v>6</v>
      </c>
      <c r="G84" s="209" t="s">
        <v>7</v>
      </c>
      <c r="H84" s="209" t="s">
        <v>2</v>
      </c>
      <c r="I84" s="209" t="s">
        <v>3</v>
      </c>
      <c r="J84" s="209" t="s">
        <v>8</v>
      </c>
      <c r="K84" s="209" t="s">
        <v>9</v>
      </c>
      <c r="L84" s="209" t="s">
        <v>1963</v>
      </c>
      <c r="M84" s="209" t="s">
        <v>1964</v>
      </c>
    </row>
    <row r="85" spans="1:13" s="42" customFormat="1" ht="54.75" customHeight="1" thickTop="1" thickBot="1" x14ac:dyDescent="0.3">
      <c r="A85" s="290" t="s">
        <v>351</v>
      </c>
      <c r="B85" s="289" t="s">
        <v>285</v>
      </c>
      <c r="C85" s="289" t="s">
        <v>18</v>
      </c>
      <c r="D85" s="291">
        <v>2</v>
      </c>
      <c r="E85" s="291">
        <v>30</v>
      </c>
      <c r="F85" s="291">
        <v>3</v>
      </c>
      <c r="G85" s="291">
        <v>848</v>
      </c>
      <c r="H85" s="294">
        <v>184921035</v>
      </c>
      <c r="I85" s="294">
        <v>0</v>
      </c>
      <c r="J85" s="426" t="s">
        <v>352</v>
      </c>
      <c r="K85" s="291" t="s">
        <v>20</v>
      </c>
      <c r="L85" s="291">
        <v>1074</v>
      </c>
      <c r="M85" s="291">
        <v>0</v>
      </c>
    </row>
    <row r="86" spans="1:13" s="42" customFormat="1" ht="39.75" customHeight="1" thickTop="1" thickBot="1" x14ac:dyDescent="0.3">
      <c r="A86" s="290" t="s">
        <v>351</v>
      </c>
      <c r="B86" s="289" t="s">
        <v>285</v>
      </c>
      <c r="C86" s="654" t="s">
        <v>53</v>
      </c>
      <c r="D86" s="291">
        <v>2</v>
      </c>
      <c r="E86" s="291">
        <v>30</v>
      </c>
      <c r="F86" s="291">
        <v>3</v>
      </c>
      <c r="G86" s="291">
        <v>520</v>
      </c>
      <c r="H86" s="294">
        <f>864820639-150000000-10000000</f>
        <v>704820639</v>
      </c>
      <c r="I86" s="294">
        <v>0</v>
      </c>
      <c r="J86" s="426" t="s">
        <v>353</v>
      </c>
      <c r="K86" s="291" t="s">
        <v>354</v>
      </c>
      <c r="L86" s="291">
        <v>3</v>
      </c>
      <c r="M86" s="291">
        <v>0</v>
      </c>
    </row>
    <row r="87" spans="1:13" s="42" customFormat="1" ht="39.75" customHeight="1" thickTop="1" thickBot="1" x14ac:dyDescent="0.3">
      <c r="A87" s="290" t="s">
        <v>351</v>
      </c>
      <c r="B87" s="289" t="s">
        <v>285</v>
      </c>
      <c r="C87" s="654"/>
      <c r="D87" s="291">
        <v>2</v>
      </c>
      <c r="E87" s="292">
        <v>30</v>
      </c>
      <c r="F87" s="292">
        <v>3</v>
      </c>
      <c r="G87" s="291">
        <v>520</v>
      </c>
      <c r="H87" s="294">
        <v>160000000</v>
      </c>
      <c r="I87" s="294">
        <v>160000000</v>
      </c>
      <c r="J87" s="254" t="s">
        <v>355</v>
      </c>
      <c r="K87" s="291" t="s">
        <v>13</v>
      </c>
      <c r="L87" s="291">
        <v>1</v>
      </c>
      <c r="M87" s="291">
        <v>1</v>
      </c>
    </row>
    <row r="88" spans="1:13" s="42" customFormat="1" ht="57" customHeight="1" thickTop="1" thickBot="1" x14ac:dyDescent="0.3">
      <c r="A88" s="290" t="s">
        <v>351</v>
      </c>
      <c r="B88" s="289" t="s">
        <v>285</v>
      </c>
      <c r="C88" s="289" t="s">
        <v>440</v>
      </c>
      <c r="D88" s="291">
        <v>2</v>
      </c>
      <c r="E88" s="291">
        <v>30</v>
      </c>
      <c r="F88" s="292">
        <v>3</v>
      </c>
      <c r="G88" s="291">
        <v>580</v>
      </c>
      <c r="H88" s="294">
        <v>150000000</v>
      </c>
      <c r="I88" s="294">
        <v>0</v>
      </c>
      <c r="J88" s="426" t="s">
        <v>356</v>
      </c>
      <c r="K88" s="291" t="s">
        <v>72</v>
      </c>
      <c r="L88" s="291">
        <v>3</v>
      </c>
      <c r="M88" s="291">
        <v>0</v>
      </c>
    </row>
    <row r="89" spans="1:13" s="42" customFormat="1" ht="16.5" thickTop="1" thickBot="1" x14ac:dyDescent="0.3">
      <c r="A89" s="314"/>
    </row>
    <row r="90" spans="1:13" s="42" customFormat="1" ht="30" customHeight="1" thickTop="1" thickBot="1" x14ac:dyDescent="0.3">
      <c r="A90" s="639" t="s">
        <v>0</v>
      </c>
      <c r="B90" s="639" t="s">
        <v>1</v>
      </c>
      <c r="C90" s="639" t="s">
        <v>2569</v>
      </c>
      <c r="D90" s="636" t="s">
        <v>1961</v>
      </c>
      <c r="E90" s="637"/>
      <c r="F90" s="637"/>
      <c r="G90" s="638"/>
      <c r="H90" s="636" t="s">
        <v>3</v>
      </c>
      <c r="I90" s="637"/>
      <c r="J90" s="636" t="s">
        <v>1962</v>
      </c>
      <c r="K90" s="637"/>
      <c r="L90" s="637"/>
      <c r="M90" s="638"/>
    </row>
    <row r="91" spans="1:13" s="42" customFormat="1" ht="34.5" customHeight="1" thickTop="1" thickBot="1" x14ac:dyDescent="0.3">
      <c r="A91" s="640"/>
      <c r="B91" s="640"/>
      <c r="C91" s="640"/>
      <c r="D91" s="209" t="s">
        <v>4</v>
      </c>
      <c r="E91" s="209" t="s">
        <v>5</v>
      </c>
      <c r="F91" s="209" t="s">
        <v>6</v>
      </c>
      <c r="G91" s="209" t="s">
        <v>7</v>
      </c>
      <c r="H91" s="209" t="s">
        <v>2</v>
      </c>
      <c r="I91" s="209" t="s">
        <v>3</v>
      </c>
      <c r="J91" s="209" t="s">
        <v>8</v>
      </c>
      <c r="K91" s="209" t="s">
        <v>9</v>
      </c>
      <c r="L91" s="209" t="s">
        <v>1963</v>
      </c>
      <c r="M91" s="209" t="s">
        <v>1964</v>
      </c>
    </row>
    <row r="92" spans="1:13" s="42" customFormat="1" ht="33" customHeight="1" thickTop="1" thickBot="1" x14ac:dyDescent="0.3">
      <c r="A92" s="307" t="s">
        <v>357</v>
      </c>
      <c r="B92" s="289" t="s">
        <v>285</v>
      </c>
      <c r="C92" s="654" t="s">
        <v>53</v>
      </c>
      <c r="D92" s="291">
        <v>3</v>
      </c>
      <c r="E92" s="291">
        <v>30</v>
      </c>
      <c r="F92" s="291">
        <v>3</v>
      </c>
      <c r="G92" s="291">
        <v>520</v>
      </c>
      <c r="H92" s="294">
        <v>826500506</v>
      </c>
      <c r="I92" s="294">
        <v>0</v>
      </c>
      <c r="J92" s="416" t="s">
        <v>358</v>
      </c>
      <c r="K92" s="291" t="s">
        <v>354</v>
      </c>
      <c r="L92" s="291">
        <v>2</v>
      </c>
      <c r="M92" s="291">
        <v>0</v>
      </c>
    </row>
    <row r="93" spans="1:13" s="42" customFormat="1" ht="33" customHeight="1" thickTop="1" thickBot="1" x14ac:dyDescent="0.3">
      <c r="A93" s="307" t="s">
        <v>357</v>
      </c>
      <c r="B93" s="289" t="s">
        <v>285</v>
      </c>
      <c r="C93" s="654"/>
      <c r="D93" s="291">
        <v>3</v>
      </c>
      <c r="E93" s="291">
        <v>30</v>
      </c>
      <c r="F93" s="291">
        <v>3</v>
      </c>
      <c r="G93" s="291">
        <v>520</v>
      </c>
      <c r="H93" s="294">
        <v>200000000</v>
      </c>
      <c r="I93" s="294">
        <v>106643774</v>
      </c>
      <c r="J93" s="416" t="s">
        <v>359</v>
      </c>
      <c r="K93" s="291" t="s">
        <v>360</v>
      </c>
      <c r="L93" s="291">
        <v>2</v>
      </c>
      <c r="M93" s="291">
        <v>1</v>
      </c>
    </row>
    <row r="94" spans="1:13" s="42" customFormat="1" ht="33" customHeight="1" thickTop="1" thickBot="1" x14ac:dyDescent="0.3">
      <c r="A94" s="307" t="s">
        <v>357</v>
      </c>
      <c r="B94" s="289" t="s">
        <v>285</v>
      </c>
      <c r="C94" s="654"/>
      <c r="D94" s="291">
        <v>3</v>
      </c>
      <c r="E94" s="291">
        <v>30</v>
      </c>
      <c r="F94" s="291">
        <v>3</v>
      </c>
      <c r="G94" s="291">
        <v>520</v>
      </c>
      <c r="H94" s="294">
        <v>20000000</v>
      </c>
      <c r="I94" s="294">
        <v>20000000</v>
      </c>
      <c r="J94" s="416" t="s">
        <v>361</v>
      </c>
      <c r="K94" s="291" t="s">
        <v>11</v>
      </c>
      <c r="L94" s="291">
        <v>16</v>
      </c>
      <c r="M94" s="291">
        <v>16</v>
      </c>
    </row>
    <row r="95" spans="1:13" s="42" customFormat="1" ht="45" customHeight="1" thickTop="1" thickBot="1" x14ac:dyDescent="0.3">
      <c r="A95" s="307" t="s">
        <v>357</v>
      </c>
      <c r="B95" s="289" t="s">
        <v>285</v>
      </c>
      <c r="C95" s="654"/>
      <c r="D95" s="291">
        <v>3</v>
      </c>
      <c r="E95" s="291">
        <v>30</v>
      </c>
      <c r="F95" s="291">
        <v>3</v>
      </c>
      <c r="G95" s="291">
        <v>540</v>
      </c>
      <c r="H95" s="294">
        <v>75341605</v>
      </c>
      <c r="I95" s="294">
        <v>63040000</v>
      </c>
      <c r="J95" s="416" t="s">
        <v>362</v>
      </c>
      <c r="K95" s="291" t="s">
        <v>50</v>
      </c>
      <c r="L95" s="291">
        <v>556</v>
      </c>
      <c r="M95" s="291">
        <v>556</v>
      </c>
    </row>
    <row r="96" spans="1:13" s="42" customFormat="1" ht="44.25" customHeight="1" thickTop="1" thickBot="1" x14ac:dyDescent="0.3">
      <c r="A96" s="307" t="s">
        <v>357</v>
      </c>
      <c r="B96" s="289" t="s">
        <v>285</v>
      </c>
      <c r="C96" s="289" t="s">
        <v>18</v>
      </c>
      <c r="D96" s="291">
        <v>3</v>
      </c>
      <c r="E96" s="291">
        <v>30</v>
      </c>
      <c r="F96" s="291">
        <v>3</v>
      </c>
      <c r="G96" s="291">
        <v>848</v>
      </c>
      <c r="H96" s="294">
        <v>480789477</v>
      </c>
      <c r="I96" s="294">
        <v>139995000</v>
      </c>
      <c r="J96" s="416" t="s">
        <v>363</v>
      </c>
      <c r="K96" s="291" t="s">
        <v>114</v>
      </c>
      <c r="L96" s="291">
        <v>167</v>
      </c>
      <c r="M96" s="291">
        <v>167</v>
      </c>
    </row>
    <row r="97" spans="1:13" s="42" customFormat="1" ht="16.5" thickTop="1" thickBot="1" x14ac:dyDescent="0.3">
      <c r="A97" s="314"/>
    </row>
    <row r="98" spans="1:13" s="42" customFormat="1" ht="30" customHeight="1" thickTop="1" thickBot="1" x14ac:dyDescent="0.3">
      <c r="A98" s="639" t="s">
        <v>0</v>
      </c>
      <c r="B98" s="639" t="s">
        <v>1</v>
      </c>
      <c r="C98" s="639" t="s">
        <v>2569</v>
      </c>
      <c r="D98" s="636" t="s">
        <v>1961</v>
      </c>
      <c r="E98" s="637"/>
      <c r="F98" s="637"/>
      <c r="G98" s="638"/>
      <c r="H98" s="636" t="s">
        <v>3</v>
      </c>
      <c r="I98" s="637"/>
      <c r="J98" s="636" t="s">
        <v>1962</v>
      </c>
      <c r="K98" s="637"/>
      <c r="L98" s="637"/>
      <c r="M98" s="638"/>
    </row>
    <row r="99" spans="1:13" s="42" customFormat="1" ht="34.5" customHeight="1" thickTop="1" thickBot="1" x14ac:dyDescent="0.3">
      <c r="A99" s="640"/>
      <c r="B99" s="640"/>
      <c r="C99" s="640"/>
      <c r="D99" s="209" t="s">
        <v>4</v>
      </c>
      <c r="E99" s="209" t="s">
        <v>5</v>
      </c>
      <c r="F99" s="209" t="s">
        <v>6</v>
      </c>
      <c r="G99" s="209" t="s">
        <v>7</v>
      </c>
      <c r="H99" s="209" t="s">
        <v>2</v>
      </c>
      <c r="I99" s="209" t="s">
        <v>3</v>
      </c>
      <c r="J99" s="209" t="s">
        <v>8</v>
      </c>
      <c r="K99" s="209" t="s">
        <v>9</v>
      </c>
      <c r="L99" s="209" t="s">
        <v>1963</v>
      </c>
      <c r="M99" s="209" t="s">
        <v>1964</v>
      </c>
    </row>
    <row r="100" spans="1:13" s="42" customFormat="1" ht="53.25" customHeight="1" thickTop="1" thickBot="1" x14ac:dyDescent="0.3">
      <c r="A100" s="290" t="s">
        <v>1973</v>
      </c>
      <c r="B100" s="289" t="s">
        <v>285</v>
      </c>
      <c r="C100" s="651" t="s">
        <v>364</v>
      </c>
      <c r="D100" s="291">
        <v>2</v>
      </c>
      <c r="E100" s="291">
        <v>30</v>
      </c>
      <c r="F100" s="291">
        <v>3</v>
      </c>
      <c r="G100" s="291">
        <v>848</v>
      </c>
      <c r="H100" s="298">
        <v>268096003</v>
      </c>
      <c r="I100" s="298">
        <v>222984500</v>
      </c>
      <c r="J100" s="416" t="s">
        <v>365</v>
      </c>
      <c r="K100" s="291" t="s">
        <v>20</v>
      </c>
      <c r="L100" s="291">
        <v>586</v>
      </c>
      <c r="M100" s="291">
        <v>586</v>
      </c>
    </row>
    <row r="101" spans="1:13" s="42" customFormat="1" ht="35.25" customHeight="1" thickTop="1" thickBot="1" x14ac:dyDescent="0.3">
      <c r="A101" s="290" t="s">
        <v>1973</v>
      </c>
      <c r="B101" s="289" t="s">
        <v>285</v>
      </c>
      <c r="C101" s="653"/>
      <c r="D101" s="291">
        <v>2</v>
      </c>
      <c r="E101" s="291">
        <v>30</v>
      </c>
      <c r="F101" s="291">
        <v>3</v>
      </c>
      <c r="G101" s="291">
        <v>960</v>
      </c>
      <c r="H101" s="298">
        <v>1072500</v>
      </c>
      <c r="I101" s="298">
        <v>1072500</v>
      </c>
      <c r="J101" s="416" t="s">
        <v>366</v>
      </c>
      <c r="K101" s="291" t="s">
        <v>16</v>
      </c>
      <c r="L101" s="291">
        <v>1</v>
      </c>
      <c r="M101" s="291">
        <v>1</v>
      </c>
    </row>
    <row r="102" spans="1:13" s="42" customFormat="1" ht="50.25" customHeight="1" thickTop="1" thickBot="1" x14ac:dyDescent="0.3">
      <c r="A102" s="290" t="s">
        <v>1973</v>
      </c>
      <c r="B102" s="289" t="s">
        <v>285</v>
      </c>
      <c r="C102" s="289" t="s">
        <v>53</v>
      </c>
      <c r="D102" s="291">
        <v>2</v>
      </c>
      <c r="E102" s="291">
        <v>30</v>
      </c>
      <c r="F102" s="291">
        <v>3</v>
      </c>
      <c r="G102" s="291">
        <v>520</v>
      </c>
      <c r="H102" s="298">
        <v>0</v>
      </c>
      <c r="I102" s="298">
        <v>0</v>
      </c>
      <c r="J102" s="416" t="s">
        <v>367</v>
      </c>
      <c r="K102" s="291" t="s">
        <v>368</v>
      </c>
      <c r="L102" s="291">
        <v>3</v>
      </c>
      <c r="M102" s="291">
        <v>0</v>
      </c>
    </row>
    <row r="103" spans="1:13" s="42" customFormat="1" ht="50.25" customHeight="1" thickTop="1" thickBot="1" x14ac:dyDescent="0.3">
      <c r="A103" s="290" t="s">
        <v>1973</v>
      </c>
      <c r="B103" s="289" t="s">
        <v>285</v>
      </c>
      <c r="C103" s="289" t="s">
        <v>53</v>
      </c>
      <c r="D103" s="291">
        <v>2</v>
      </c>
      <c r="E103" s="291">
        <v>30</v>
      </c>
      <c r="F103" s="291">
        <v>3</v>
      </c>
      <c r="G103" s="291">
        <v>520</v>
      </c>
      <c r="H103" s="298">
        <v>621482513</v>
      </c>
      <c r="I103" s="298">
        <v>0</v>
      </c>
      <c r="J103" s="416" t="s">
        <v>369</v>
      </c>
      <c r="K103" s="291" t="s">
        <v>55</v>
      </c>
      <c r="L103" s="291">
        <v>4</v>
      </c>
      <c r="M103" s="291">
        <v>0</v>
      </c>
    </row>
    <row r="104" spans="1:13" s="42" customFormat="1" ht="74.25" customHeight="1" thickTop="1" thickBot="1" x14ac:dyDescent="0.3">
      <c r="A104" s="290" t="s">
        <v>1973</v>
      </c>
      <c r="B104" s="289" t="s">
        <v>285</v>
      </c>
      <c r="C104" s="290" t="s">
        <v>53</v>
      </c>
      <c r="D104" s="291">
        <v>2</v>
      </c>
      <c r="E104" s="291">
        <v>30</v>
      </c>
      <c r="F104" s="291">
        <v>3</v>
      </c>
      <c r="G104" s="291">
        <v>980</v>
      </c>
      <c r="H104" s="298">
        <v>8058305</v>
      </c>
      <c r="I104" s="298">
        <v>8058305</v>
      </c>
      <c r="J104" s="416" t="s">
        <v>370</v>
      </c>
      <c r="K104" s="291" t="s">
        <v>16</v>
      </c>
      <c r="L104" s="291">
        <v>2</v>
      </c>
      <c r="M104" s="291">
        <v>2</v>
      </c>
    </row>
    <row r="105" spans="1:13" s="42" customFormat="1" ht="16.5" thickTop="1" thickBot="1" x14ac:dyDescent="0.3">
      <c r="A105" s="314"/>
    </row>
    <row r="106" spans="1:13" s="42" customFormat="1" ht="30" customHeight="1" thickTop="1" thickBot="1" x14ac:dyDescent="0.3">
      <c r="A106" s="639" t="s">
        <v>0</v>
      </c>
      <c r="B106" s="639" t="s">
        <v>1</v>
      </c>
      <c r="C106" s="639" t="s">
        <v>2569</v>
      </c>
      <c r="D106" s="636" t="s">
        <v>1961</v>
      </c>
      <c r="E106" s="637"/>
      <c r="F106" s="637"/>
      <c r="G106" s="638"/>
      <c r="H106" s="636" t="s">
        <v>3</v>
      </c>
      <c r="I106" s="637"/>
      <c r="J106" s="636" t="s">
        <v>1962</v>
      </c>
      <c r="K106" s="637"/>
      <c r="L106" s="637"/>
      <c r="M106" s="638"/>
    </row>
    <row r="107" spans="1:13" s="42" customFormat="1" ht="34.5" customHeight="1" thickTop="1" thickBot="1" x14ac:dyDescent="0.3">
      <c r="A107" s="640"/>
      <c r="B107" s="640"/>
      <c r="C107" s="640"/>
      <c r="D107" s="209" t="s">
        <v>4</v>
      </c>
      <c r="E107" s="209" t="s">
        <v>5</v>
      </c>
      <c r="F107" s="209" t="s">
        <v>6</v>
      </c>
      <c r="G107" s="209" t="s">
        <v>7</v>
      </c>
      <c r="H107" s="209" t="s">
        <v>2</v>
      </c>
      <c r="I107" s="209" t="s">
        <v>3</v>
      </c>
      <c r="J107" s="209" t="s">
        <v>8</v>
      </c>
      <c r="K107" s="209" t="s">
        <v>9</v>
      </c>
      <c r="L107" s="209" t="s">
        <v>1963</v>
      </c>
      <c r="M107" s="209" t="s">
        <v>1964</v>
      </c>
    </row>
    <row r="108" spans="1:13" s="42" customFormat="1" ht="46.5" thickTop="1" thickBot="1" x14ac:dyDescent="0.3">
      <c r="A108" s="309" t="s">
        <v>1997</v>
      </c>
      <c r="B108" s="309" t="s">
        <v>285</v>
      </c>
      <c r="C108" s="309" t="s">
        <v>18</v>
      </c>
      <c r="D108" s="310">
        <v>3</v>
      </c>
      <c r="E108" s="310">
        <v>30</v>
      </c>
      <c r="F108" s="310">
        <v>3</v>
      </c>
      <c r="G108" s="310">
        <v>848</v>
      </c>
      <c r="H108" s="298">
        <v>301718106</v>
      </c>
      <c r="I108" s="298">
        <v>139258560</v>
      </c>
      <c r="J108" s="416" t="s">
        <v>1998</v>
      </c>
      <c r="K108" s="310" t="s">
        <v>20</v>
      </c>
      <c r="L108" s="310">
        <v>2000</v>
      </c>
      <c r="M108" s="310">
        <v>780</v>
      </c>
    </row>
    <row r="109" spans="1:13" s="42" customFormat="1" ht="49.5" customHeight="1" thickTop="1" thickBot="1" x14ac:dyDescent="0.3">
      <c r="A109" s="309" t="s">
        <v>1997</v>
      </c>
      <c r="B109" s="309" t="s">
        <v>285</v>
      </c>
      <c r="C109" s="309" t="s">
        <v>179</v>
      </c>
      <c r="D109" s="310">
        <v>3</v>
      </c>
      <c r="E109" s="310">
        <v>30</v>
      </c>
      <c r="F109" s="310">
        <v>3</v>
      </c>
      <c r="G109" s="310">
        <v>520</v>
      </c>
      <c r="H109" s="298">
        <v>588000000</v>
      </c>
      <c r="I109" s="298">
        <v>111591005</v>
      </c>
      <c r="J109" s="416" t="s">
        <v>1999</v>
      </c>
      <c r="K109" s="310" t="s">
        <v>55</v>
      </c>
      <c r="L109" s="310">
        <v>5</v>
      </c>
      <c r="M109" s="310">
        <v>1</v>
      </c>
    </row>
    <row r="110" spans="1:13" s="42" customFormat="1" ht="46.5" customHeight="1" thickTop="1" thickBot="1" x14ac:dyDescent="0.3">
      <c r="A110" s="309" t="s">
        <v>1997</v>
      </c>
      <c r="B110" s="309" t="s">
        <v>285</v>
      </c>
      <c r="C110" s="309" t="s">
        <v>105</v>
      </c>
      <c r="D110" s="310">
        <v>3</v>
      </c>
      <c r="E110" s="310">
        <v>30</v>
      </c>
      <c r="F110" s="310">
        <v>3</v>
      </c>
      <c r="G110" s="310">
        <v>540</v>
      </c>
      <c r="H110" s="298">
        <v>112000000</v>
      </c>
      <c r="I110" s="298">
        <v>81090000</v>
      </c>
      <c r="J110" s="416" t="s">
        <v>2000</v>
      </c>
      <c r="K110" s="310" t="s">
        <v>17</v>
      </c>
      <c r="L110" s="310">
        <v>20</v>
      </c>
      <c r="M110" s="310">
        <v>15</v>
      </c>
    </row>
    <row r="111" spans="1:13" s="42" customFormat="1" ht="16.5" thickTop="1" thickBot="1" x14ac:dyDescent="0.3">
      <c r="A111" s="314"/>
    </row>
    <row r="112" spans="1:13" s="42" customFormat="1" ht="30" customHeight="1" thickTop="1" thickBot="1" x14ac:dyDescent="0.3">
      <c r="A112" s="639" t="s">
        <v>0</v>
      </c>
      <c r="B112" s="639" t="s">
        <v>1</v>
      </c>
      <c r="C112" s="639" t="s">
        <v>2569</v>
      </c>
      <c r="D112" s="636" t="s">
        <v>1961</v>
      </c>
      <c r="E112" s="637"/>
      <c r="F112" s="637"/>
      <c r="G112" s="638"/>
      <c r="H112" s="636" t="s">
        <v>3</v>
      </c>
      <c r="I112" s="637"/>
      <c r="J112" s="636" t="s">
        <v>1962</v>
      </c>
      <c r="K112" s="637"/>
      <c r="L112" s="637"/>
      <c r="M112" s="638"/>
    </row>
    <row r="113" spans="1:13" s="42" customFormat="1" ht="34.5" customHeight="1" thickTop="1" thickBot="1" x14ac:dyDescent="0.3">
      <c r="A113" s="640"/>
      <c r="B113" s="640"/>
      <c r="C113" s="640"/>
      <c r="D113" s="209" t="s">
        <v>4</v>
      </c>
      <c r="E113" s="209" t="s">
        <v>5</v>
      </c>
      <c r="F113" s="209" t="s">
        <v>6</v>
      </c>
      <c r="G113" s="209" t="s">
        <v>7</v>
      </c>
      <c r="H113" s="209" t="s">
        <v>2</v>
      </c>
      <c r="I113" s="209" t="s">
        <v>3</v>
      </c>
      <c r="J113" s="209" t="s">
        <v>8</v>
      </c>
      <c r="K113" s="209" t="s">
        <v>9</v>
      </c>
      <c r="L113" s="209" t="s">
        <v>1963</v>
      </c>
      <c r="M113" s="209" t="s">
        <v>1964</v>
      </c>
    </row>
    <row r="114" spans="1:13" s="42" customFormat="1" ht="53.25" customHeight="1" thickTop="1" thickBot="1" x14ac:dyDescent="0.3">
      <c r="A114" s="307" t="s">
        <v>371</v>
      </c>
      <c r="B114" s="289" t="s">
        <v>285</v>
      </c>
      <c r="C114" s="654" t="s">
        <v>18</v>
      </c>
      <c r="D114" s="659">
        <v>2</v>
      </c>
      <c r="E114" s="659">
        <v>30</v>
      </c>
      <c r="F114" s="659">
        <v>3</v>
      </c>
      <c r="G114" s="659">
        <v>848</v>
      </c>
      <c r="H114" s="669">
        <v>438086084</v>
      </c>
      <c r="I114" s="643">
        <v>316943450</v>
      </c>
      <c r="J114" s="416" t="s">
        <v>373</v>
      </c>
      <c r="K114" s="291" t="s">
        <v>75</v>
      </c>
      <c r="L114" s="291">
        <v>22655</v>
      </c>
      <c r="M114" s="291">
        <v>22655</v>
      </c>
    </row>
    <row r="115" spans="1:13" s="42" customFormat="1" ht="28.5" customHeight="1" thickTop="1" thickBot="1" x14ac:dyDescent="0.3">
      <c r="A115" s="307" t="s">
        <v>371</v>
      </c>
      <c r="B115" s="289" t="s">
        <v>285</v>
      </c>
      <c r="C115" s="654"/>
      <c r="D115" s="659"/>
      <c r="E115" s="659"/>
      <c r="F115" s="659"/>
      <c r="G115" s="659"/>
      <c r="H115" s="670"/>
      <c r="I115" s="644"/>
      <c r="J115" s="416" t="s">
        <v>374</v>
      </c>
      <c r="K115" s="291" t="s">
        <v>20</v>
      </c>
      <c r="L115" s="291">
        <v>895</v>
      </c>
      <c r="M115" s="291">
        <v>895</v>
      </c>
    </row>
    <row r="116" spans="1:13" s="42" customFormat="1" ht="44.25" customHeight="1" thickTop="1" thickBot="1" x14ac:dyDescent="0.3">
      <c r="A116" s="307" t="s">
        <v>371</v>
      </c>
      <c r="B116" s="289" t="s">
        <v>285</v>
      </c>
      <c r="C116" s="654" t="s">
        <v>53</v>
      </c>
      <c r="D116" s="291">
        <v>2</v>
      </c>
      <c r="E116" s="291">
        <v>30</v>
      </c>
      <c r="F116" s="291">
        <v>3</v>
      </c>
      <c r="G116" s="291">
        <v>520</v>
      </c>
      <c r="H116" s="300">
        <v>561302782</v>
      </c>
      <c r="I116" s="213">
        <v>165334950</v>
      </c>
      <c r="J116" s="416" t="s">
        <v>375</v>
      </c>
      <c r="K116" s="291" t="s">
        <v>55</v>
      </c>
      <c r="L116" s="291">
        <v>4</v>
      </c>
      <c r="M116" s="291">
        <v>1.1499999999999999</v>
      </c>
    </row>
    <row r="117" spans="1:13" s="42" customFormat="1" ht="41.25" customHeight="1" thickTop="1" thickBot="1" x14ac:dyDescent="0.3">
      <c r="A117" s="307" t="s">
        <v>371</v>
      </c>
      <c r="B117" s="289" t="s">
        <v>285</v>
      </c>
      <c r="C117" s="654"/>
      <c r="D117" s="291">
        <v>2</v>
      </c>
      <c r="E117" s="291">
        <v>30</v>
      </c>
      <c r="F117" s="291">
        <v>3</v>
      </c>
      <c r="G117" s="291">
        <v>520</v>
      </c>
      <c r="H117" s="300">
        <v>358865713</v>
      </c>
      <c r="I117" s="213"/>
      <c r="J117" s="416" t="s">
        <v>376</v>
      </c>
      <c r="K117" s="291" t="s">
        <v>103</v>
      </c>
      <c r="L117" s="291">
        <v>4</v>
      </c>
      <c r="M117" s="291">
        <v>0</v>
      </c>
    </row>
    <row r="118" spans="1:13" s="42" customFormat="1" ht="40.5" customHeight="1" thickTop="1" thickBot="1" x14ac:dyDescent="0.3">
      <c r="A118" s="307" t="s">
        <v>371</v>
      </c>
      <c r="B118" s="289" t="s">
        <v>285</v>
      </c>
      <c r="C118" s="289" t="s">
        <v>105</v>
      </c>
      <c r="D118" s="291">
        <v>2</v>
      </c>
      <c r="E118" s="291">
        <v>30</v>
      </c>
      <c r="F118" s="291">
        <v>3</v>
      </c>
      <c r="G118" s="301">
        <v>540</v>
      </c>
      <c r="H118" s="213">
        <v>80000000</v>
      </c>
      <c r="I118" s="213">
        <v>68970000</v>
      </c>
      <c r="J118" s="416" t="s">
        <v>377</v>
      </c>
      <c r="K118" s="291" t="s">
        <v>107</v>
      </c>
      <c r="L118" s="291">
        <v>363</v>
      </c>
      <c r="M118" s="291">
        <v>363</v>
      </c>
    </row>
    <row r="119" spans="1:13" s="42" customFormat="1" ht="48.75" customHeight="1" thickTop="1" thickBot="1" x14ac:dyDescent="0.3">
      <c r="A119" s="307" t="s">
        <v>371</v>
      </c>
      <c r="B119" s="289" t="s">
        <v>285</v>
      </c>
      <c r="C119" s="302" t="s">
        <v>53</v>
      </c>
      <c r="D119" s="291">
        <v>2</v>
      </c>
      <c r="E119" s="291">
        <v>30</v>
      </c>
      <c r="F119" s="291">
        <v>3</v>
      </c>
      <c r="G119" s="291">
        <v>590</v>
      </c>
      <c r="H119" s="294">
        <v>130000000</v>
      </c>
      <c r="I119" s="213">
        <v>0</v>
      </c>
      <c r="J119" s="416" t="s">
        <v>378</v>
      </c>
      <c r="K119" s="291" t="s">
        <v>55</v>
      </c>
      <c r="L119" s="291">
        <v>1</v>
      </c>
      <c r="M119" s="291">
        <v>0</v>
      </c>
    </row>
    <row r="120" spans="1:13" s="42" customFormat="1" ht="48.75" customHeight="1" thickTop="1" thickBot="1" x14ac:dyDescent="0.3">
      <c r="A120" s="307" t="s">
        <v>371</v>
      </c>
      <c r="B120" s="289" t="s">
        <v>285</v>
      </c>
      <c r="C120" s="302" t="s">
        <v>53</v>
      </c>
      <c r="D120" s="291">
        <v>2</v>
      </c>
      <c r="E120" s="291">
        <v>30</v>
      </c>
      <c r="F120" s="291">
        <v>3</v>
      </c>
      <c r="G120" s="291">
        <v>980</v>
      </c>
      <c r="H120" s="294">
        <v>24132368</v>
      </c>
      <c r="I120" s="213">
        <v>24132368</v>
      </c>
      <c r="J120" s="416" t="s">
        <v>372</v>
      </c>
      <c r="K120" s="291" t="s">
        <v>16</v>
      </c>
      <c r="L120" s="291">
        <v>1</v>
      </c>
      <c r="M120" s="291">
        <v>1</v>
      </c>
    </row>
    <row r="121" spans="1:13" s="1" customFormat="1" ht="15" customHeight="1" thickTop="1" thickBot="1" x14ac:dyDescent="0.3">
      <c r="A121" s="315"/>
      <c r="B121" s="303"/>
      <c r="C121" s="304"/>
      <c r="D121" s="304"/>
      <c r="E121" s="304"/>
      <c r="F121" s="304"/>
      <c r="G121" s="304"/>
      <c r="H121" s="304"/>
      <c r="I121" s="304"/>
      <c r="J121" s="180"/>
      <c r="K121" s="180"/>
      <c r="L121" s="180"/>
      <c r="M121" s="180"/>
    </row>
    <row r="122" spans="1:13" s="42" customFormat="1" ht="30" customHeight="1" thickTop="1" thickBot="1" x14ac:dyDescent="0.3">
      <c r="A122" s="639" t="s">
        <v>0</v>
      </c>
      <c r="B122" s="639" t="s">
        <v>1</v>
      </c>
      <c r="C122" s="639" t="s">
        <v>2569</v>
      </c>
      <c r="D122" s="636" t="s">
        <v>1961</v>
      </c>
      <c r="E122" s="637"/>
      <c r="F122" s="637"/>
      <c r="G122" s="638"/>
      <c r="H122" s="636" t="s">
        <v>3</v>
      </c>
      <c r="I122" s="637"/>
      <c r="J122" s="636" t="s">
        <v>1962</v>
      </c>
      <c r="K122" s="637"/>
      <c r="L122" s="637"/>
      <c r="M122" s="638"/>
    </row>
    <row r="123" spans="1:13" s="42" customFormat="1" ht="34.5" customHeight="1" thickTop="1" thickBot="1" x14ac:dyDescent="0.3">
      <c r="A123" s="640"/>
      <c r="B123" s="640"/>
      <c r="C123" s="640"/>
      <c r="D123" s="209" t="s">
        <v>4</v>
      </c>
      <c r="E123" s="209" t="s">
        <v>5</v>
      </c>
      <c r="F123" s="209" t="s">
        <v>6</v>
      </c>
      <c r="G123" s="209" t="s">
        <v>7</v>
      </c>
      <c r="H123" s="209" t="s">
        <v>2</v>
      </c>
      <c r="I123" s="209" t="s">
        <v>3</v>
      </c>
      <c r="J123" s="209" t="s">
        <v>8</v>
      </c>
      <c r="K123" s="209" t="s">
        <v>9</v>
      </c>
      <c r="L123" s="209" t="s">
        <v>1963</v>
      </c>
      <c r="M123" s="209" t="s">
        <v>1964</v>
      </c>
    </row>
    <row r="124" spans="1:13" s="42" customFormat="1" ht="54.75" customHeight="1" thickTop="1" thickBot="1" x14ac:dyDescent="0.3">
      <c r="A124" s="210" t="s">
        <v>2450</v>
      </c>
      <c r="B124" s="289" t="s">
        <v>285</v>
      </c>
      <c r="C124" s="211" t="s">
        <v>18</v>
      </c>
      <c r="D124" s="211">
        <v>2</v>
      </c>
      <c r="E124" s="211">
        <v>30</v>
      </c>
      <c r="F124" s="211">
        <v>3</v>
      </c>
      <c r="G124" s="211">
        <v>848</v>
      </c>
      <c r="H124" s="305">
        <v>298600000</v>
      </c>
      <c r="I124" s="305">
        <v>298290000</v>
      </c>
      <c r="J124" s="334" t="s">
        <v>379</v>
      </c>
      <c r="K124" s="263" t="s">
        <v>20</v>
      </c>
      <c r="L124" s="306">
        <v>600</v>
      </c>
      <c r="M124" s="306">
        <v>600</v>
      </c>
    </row>
    <row r="125" spans="1:13" s="42" customFormat="1" ht="50.25" customHeight="1" thickTop="1" thickBot="1" x14ac:dyDescent="0.3">
      <c r="A125" s="210" t="s">
        <v>1983</v>
      </c>
      <c r="B125" s="289" t="s">
        <v>285</v>
      </c>
      <c r="C125" s="211" t="s">
        <v>53</v>
      </c>
      <c r="D125" s="211">
        <v>3</v>
      </c>
      <c r="E125" s="211">
        <v>30</v>
      </c>
      <c r="F125" s="211">
        <v>3</v>
      </c>
      <c r="G125" s="211">
        <v>520</v>
      </c>
      <c r="H125" s="305">
        <v>383400000</v>
      </c>
      <c r="I125" s="305">
        <v>314000000</v>
      </c>
      <c r="J125" s="334" t="s">
        <v>380</v>
      </c>
      <c r="K125" s="263" t="s">
        <v>55</v>
      </c>
      <c r="L125" s="306">
        <v>5</v>
      </c>
      <c r="M125" s="306">
        <v>4</v>
      </c>
    </row>
    <row r="126" spans="1:13" s="42" customFormat="1" ht="50.25" customHeight="1" thickTop="1" thickBot="1" x14ac:dyDescent="0.3">
      <c r="A126" s="210" t="s">
        <v>1983</v>
      </c>
      <c r="B126" s="289" t="s">
        <v>285</v>
      </c>
      <c r="C126" s="211" t="s">
        <v>53</v>
      </c>
      <c r="D126" s="211">
        <v>3</v>
      </c>
      <c r="E126" s="211">
        <v>30</v>
      </c>
      <c r="F126" s="211">
        <v>3</v>
      </c>
      <c r="G126" s="211">
        <v>520</v>
      </c>
      <c r="H126" s="305">
        <v>280000000</v>
      </c>
      <c r="I126" s="305">
        <v>139000000</v>
      </c>
      <c r="J126" s="334" t="s">
        <v>381</v>
      </c>
      <c r="K126" s="263" t="s">
        <v>25</v>
      </c>
      <c r="L126" s="306">
        <v>6</v>
      </c>
      <c r="M126" s="306">
        <v>3</v>
      </c>
    </row>
    <row r="127" spans="1:13" s="42" customFormat="1" ht="39" customHeight="1" thickTop="1" thickBot="1" x14ac:dyDescent="0.3">
      <c r="A127" s="210" t="s">
        <v>1983</v>
      </c>
      <c r="B127" s="289" t="s">
        <v>285</v>
      </c>
      <c r="C127" s="413" t="s">
        <v>105</v>
      </c>
      <c r="D127" s="211">
        <v>3</v>
      </c>
      <c r="E127" s="211">
        <v>30</v>
      </c>
      <c r="F127" s="211">
        <v>3</v>
      </c>
      <c r="G127" s="211">
        <v>540</v>
      </c>
      <c r="H127" s="305">
        <v>33619952</v>
      </c>
      <c r="I127" s="305">
        <v>0</v>
      </c>
      <c r="J127" s="334" t="s">
        <v>382</v>
      </c>
      <c r="K127" s="259" t="s">
        <v>383</v>
      </c>
      <c r="L127" s="306">
        <v>15</v>
      </c>
      <c r="M127" s="306">
        <v>0</v>
      </c>
    </row>
    <row r="128" spans="1:13" s="42" customFormat="1" ht="16.5" thickTop="1" thickBot="1" x14ac:dyDescent="0.3">
      <c r="A128" s="314"/>
    </row>
    <row r="129" spans="1:13" s="42" customFormat="1" ht="30" customHeight="1" thickTop="1" thickBot="1" x14ac:dyDescent="0.3">
      <c r="A129" s="639" t="s">
        <v>0</v>
      </c>
      <c r="B129" s="639" t="s">
        <v>1</v>
      </c>
      <c r="C129" s="639" t="s">
        <v>2569</v>
      </c>
      <c r="D129" s="636" t="s">
        <v>1961</v>
      </c>
      <c r="E129" s="637"/>
      <c r="F129" s="637"/>
      <c r="G129" s="638"/>
      <c r="H129" s="636" t="s">
        <v>3</v>
      </c>
      <c r="I129" s="637"/>
      <c r="J129" s="636" t="s">
        <v>1962</v>
      </c>
      <c r="K129" s="637"/>
      <c r="L129" s="637"/>
      <c r="M129" s="638"/>
    </row>
    <row r="130" spans="1:13" s="42" customFormat="1" ht="34.5" customHeight="1" thickTop="1" thickBot="1" x14ac:dyDescent="0.3">
      <c r="A130" s="640"/>
      <c r="B130" s="640"/>
      <c r="C130" s="640"/>
      <c r="D130" s="209" t="s">
        <v>4</v>
      </c>
      <c r="E130" s="209" t="s">
        <v>5</v>
      </c>
      <c r="F130" s="209" t="s">
        <v>6</v>
      </c>
      <c r="G130" s="209" t="s">
        <v>7</v>
      </c>
      <c r="H130" s="209" t="s">
        <v>2</v>
      </c>
      <c r="I130" s="209" t="s">
        <v>3</v>
      </c>
      <c r="J130" s="209" t="s">
        <v>8</v>
      </c>
      <c r="K130" s="209" t="s">
        <v>9</v>
      </c>
      <c r="L130" s="209" t="s">
        <v>1963</v>
      </c>
      <c r="M130" s="209" t="s">
        <v>1964</v>
      </c>
    </row>
    <row r="131" spans="1:13" s="42" customFormat="1" ht="39" customHeight="1" thickTop="1" thickBot="1" x14ac:dyDescent="0.3">
      <c r="A131" s="290" t="s">
        <v>384</v>
      </c>
      <c r="B131" s="289" t="s">
        <v>285</v>
      </c>
      <c r="C131" s="651" t="s">
        <v>18</v>
      </c>
      <c r="D131" s="289">
        <v>3</v>
      </c>
      <c r="E131" s="289">
        <v>30</v>
      </c>
      <c r="F131" s="289">
        <v>3</v>
      </c>
      <c r="G131" s="289">
        <v>848</v>
      </c>
      <c r="H131" s="296">
        <v>484026239</v>
      </c>
      <c r="I131" s="296">
        <v>0</v>
      </c>
      <c r="J131" s="416" t="s">
        <v>1993</v>
      </c>
      <c r="K131" s="291" t="s">
        <v>20</v>
      </c>
      <c r="L131" s="297">
        <v>312</v>
      </c>
      <c r="M131" s="297">
        <v>0</v>
      </c>
    </row>
    <row r="132" spans="1:13" s="42" customFormat="1" ht="41.25" customHeight="1" thickTop="1" thickBot="1" x14ac:dyDescent="0.3">
      <c r="A132" s="290" t="s">
        <v>384</v>
      </c>
      <c r="B132" s="289" t="s">
        <v>285</v>
      </c>
      <c r="C132" s="653"/>
      <c r="D132" s="289">
        <v>3</v>
      </c>
      <c r="E132" s="289">
        <v>30</v>
      </c>
      <c r="F132" s="289">
        <v>3</v>
      </c>
      <c r="G132" s="289">
        <v>960</v>
      </c>
      <c r="H132" s="296">
        <v>155696988</v>
      </c>
      <c r="I132" s="412">
        <v>0</v>
      </c>
      <c r="J132" s="416" t="s">
        <v>385</v>
      </c>
      <c r="K132" s="291" t="s">
        <v>73</v>
      </c>
      <c r="L132" s="297">
        <v>1</v>
      </c>
      <c r="M132" s="297">
        <v>0</v>
      </c>
    </row>
    <row r="133" spans="1:13" s="42" customFormat="1" ht="35.25" customHeight="1" thickTop="1" thickBot="1" x14ac:dyDescent="0.3">
      <c r="A133" s="290" t="s">
        <v>384</v>
      </c>
      <c r="B133" s="289" t="s">
        <v>285</v>
      </c>
      <c r="C133" s="654" t="s">
        <v>53</v>
      </c>
      <c r="D133" s="289">
        <v>3</v>
      </c>
      <c r="E133" s="289">
        <v>30</v>
      </c>
      <c r="F133" s="289">
        <v>3</v>
      </c>
      <c r="G133" s="289">
        <v>520</v>
      </c>
      <c r="H133" s="296">
        <v>829394558</v>
      </c>
      <c r="I133" s="412">
        <v>0</v>
      </c>
      <c r="J133" s="416" t="s">
        <v>386</v>
      </c>
      <c r="K133" s="291" t="s">
        <v>55</v>
      </c>
      <c r="L133" s="297">
        <v>10</v>
      </c>
      <c r="M133" s="297">
        <v>0</v>
      </c>
    </row>
    <row r="134" spans="1:13" s="42" customFormat="1" ht="37.5" customHeight="1" thickTop="1" thickBot="1" x14ac:dyDescent="0.3">
      <c r="A134" s="290" t="s">
        <v>384</v>
      </c>
      <c r="B134" s="289" t="s">
        <v>285</v>
      </c>
      <c r="C134" s="654"/>
      <c r="D134" s="289">
        <v>3</v>
      </c>
      <c r="E134" s="289">
        <v>30</v>
      </c>
      <c r="F134" s="289">
        <v>3</v>
      </c>
      <c r="G134" s="289">
        <v>520</v>
      </c>
      <c r="H134" s="296">
        <v>0</v>
      </c>
      <c r="I134" s="412">
        <v>0</v>
      </c>
      <c r="J134" s="416" t="s">
        <v>387</v>
      </c>
      <c r="K134" s="291" t="s">
        <v>55</v>
      </c>
      <c r="L134" s="297">
        <v>10</v>
      </c>
      <c r="M134" s="297">
        <v>0</v>
      </c>
    </row>
    <row r="135" spans="1:13" s="42" customFormat="1" ht="37.5" customHeight="1" thickTop="1" thickBot="1" x14ac:dyDescent="0.3">
      <c r="A135" s="290" t="s">
        <v>384</v>
      </c>
      <c r="B135" s="289" t="s">
        <v>285</v>
      </c>
      <c r="C135" s="654"/>
      <c r="D135" s="289">
        <v>3</v>
      </c>
      <c r="E135" s="289">
        <v>30</v>
      </c>
      <c r="F135" s="289">
        <v>3</v>
      </c>
      <c r="G135" s="289">
        <v>530</v>
      </c>
      <c r="H135" s="296">
        <v>100000000</v>
      </c>
      <c r="I135" s="412">
        <v>0</v>
      </c>
      <c r="J135" s="416" t="s">
        <v>388</v>
      </c>
      <c r="K135" s="291" t="s">
        <v>17</v>
      </c>
      <c r="L135" s="297">
        <v>200</v>
      </c>
      <c r="M135" s="297">
        <v>0</v>
      </c>
    </row>
    <row r="136" spans="1:13" s="42" customFormat="1" ht="63" customHeight="1" thickTop="1" thickBot="1" x14ac:dyDescent="0.3">
      <c r="A136" s="290" t="s">
        <v>384</v>
      </c>
      <c r="B136" s="289" t="s">
        <v>285</v>
      </c>
      <c r="C136" s="654"/>
      <c r="D136" s="289">
        <v>3</v>
      </c>
      <c r="E136" s="289">
        <v>30</v>
      </c>
      <c r="F136" s="289">
        <v>3</v>
      </c>
      <c r="G136" s="289">
        <v>540</v>
      </c>
      <c r="H136" s="296">
        <v>200000000</v>
      </c>
      <c r="I136" s="412">
        <v>0</v>
      </c>
      <c r="J136" s="416" t="s">
        <v>389</v>
      </c>
      <c r="K136" s="291" t="s">
        <v>17</v>
      </c>
      <c r="L136" s="297">
        <v>164</v>
      </c>
      <c r="M136" s="297">
        <v>0</v>
      </c>
    </row>
    <row r="137" spans="1:13" s="42" customFormat="1" ht="45" customHeight="1" thickTop="1" thickBot="1" x14ac:dyDescent="0.3">
      <c r="A137" s="290" t="s">
        <v>384</v>
      </c>
      <c r="B137" s="289" t="s">
        <v>285</v>
      </c>
      <c r="C137" s="654"/>
      <c r="D137" s="289">
        <v>3</v>
      </c>
      <c r="E137" s="289">
        <v>30</v>
      </c>
      <c r="F137" s="289">
        <v>3</v>
      </c>
      <c r="G137" s="289">
        <v>980</v>
      </c>
      <c r="H137" s="296">
        <v>363292972</v>
      </c>
      <c r="I137" s="296">
        <v>0</v>
      </c>
      <c r="J137" s="416" t="s">
        <v>390</v>
      </c>
      <c r="K137" s="291" t="s">
        <v>73</v>
      </c>
      <c r="L137" s="297">
        <v>1</v>
      </c>
      <c r="M137" s="297">
        <v>0</v>
      </c>
    </row>
    <row r="138" spans="1:13" s="42" customFormat="1" ht="16.5" thickTop="1" thickBot="1" x14ac:dyDescent="0.3">
      <c r="A138" s="314"/>
    </row>
    <row r="139" spans="1:13" s="42" customFormat="1" ht="30" customHeight="1" thickTop="1" thickBot="1" x14ac:dyDescent="0.3">
      <c r="A139" s="639" t="s">
        <v>0</v>
      </c>
      <c r="B139" s="639" t="s">
        <v>1</v>
      </c>
      <c r="C139" s="639" t="s">
        <v>2569</v>
      </c>
      <c r="D139" s="636" t="s">
        <v>1961</v>
      </c>
      <c r="E139" s="637"/>
      <c r="F139" s="637"/>
      <c r="G139" s="638"/>
      <c r="H139" s="636" t="s">
        <v>3</v>
      </c>
      <c r="I139" s="637"/>
      <c r="J139" s="636" t="s">
        <v>1962</v>
      </c>
      <c r="K139" s="637"/>
      <c r="L139" s="637"/>
      <c r="M139" s="638"/>
    </row>
    <row r="140" spans="1:13" s="42" customFormat="1" ht="34.5" customHeight="1" thickTop="1" thickBot="1" x14ac:dyDescent="0.3">
      <c r="A140" s="640"/>
      <c r="B140" s="640"/>
      <c r="C140" s="640"/>
      <c r="D140" s="209" t="s">
        <v>4</v>
      </c>
      <c r="E140" s="209" t="s">
        <v>5</v>
      </c>
      <c r="F140" s="209" t="s">
        <v>6</v>
      </c>
      <c r="G140" s="209" t="s">
        <v>7</v>
      </c>
      <c r="H140" s="209" t="s">
        <v>2</v>
      </c>
      <c r="I140" s="209" t="s">
        <v>3</v>
      </c>
      <c r="J140" s="209" t="s">
        <v>8</v>
      </c>
      <c r="K140" s="209" t="s">
        <v>9</v>
      </c>
      <c r="L140" s="209" t="s">
        <v>1963</v>
      </c>
      <c r="M140" s="209" t="s">
        <v>1964</v>
      </c>
    </row>
    <row r="141" spans="1:13" s="42" customFormat="1" ht="64.5" customHeight="1" thickTop="1" thickBot="1" x14ac:dyDescent="0.3">
      <c r="A141" s="307" t="s">
        <v>391</v>
      </c>
      <c r="B141" s="289" t="s">
        <v>285</v>
      </c>
      <c r="C141" s="289" t="s">
        <v>18</v>
      </c>
      <c r="D141" s="291">
        <v>2</v>
      </c>
      <c r="E141" s="292">
        <v>30</v>
      </c>
      <c r="F141" s="292">
        <v>3</v>
      </c>
      <c r="G141" s="291">
        <v>848</v>
      </c>
      <c r="H141" s="294">
        <f>263161055+48819486</f>
        <v>311980541</v>
      </c>
      <c r="I141" s="295">
        <v>187131000</v>
      </c>
      <c r="J141" s="416" t="s">
        <v>392</v>
      </c>
      <c r="K141" s="299" t="s">
        <v>20</v>
      </c>
      <c r="L141" s="292">
        <v>335</v>
      </c>
      <c r="M141" s="292">
        <v>335</v>
      </c>
    </row>
    <row r="142" spans="1:13" s="42" customFormat="1" ht="48.75" customHeight="1" thickTop="1" thickBot="1" x14ac:dyDescent="0.3">
      <c r="A142" s="307" t="s">
        <v>391</v>
      </c>
      <c r="B142" s="289" t="s">
        <v>285</v>
      </c>
      <c r="C142" s="289" t="s">
        <v>300</v>
      </c>
      <c r="D142" s="291">
        <v>3</v>
      </c>
      <c r="E142" s="292">
        <v>30</v>
      </c>
      <c r="F142" s="292">
        <v>3</v>
      </c>
      <c r="G142" s="291">
        <v>520</v>
      </c>
      <c r="H142" s="294">
        <f>337942460+40912137+48000000</f>
        <v>426854597</v>
      </c>
      <c r="I142" s="295">
        <v>0</v>
      </c>
      <c r="J142" s="416" t="s">
        <v>393</v>
      </c>
      <c r="K142" s="299" t="s">
        <v>55</v>
      </c>
      <c r="L142" s="292">
        <v>3</v>
      </c>
      <c r="M142" s="292">
        <v>0</v>
      </c>
    </row>
    <row r="143" spans="1:13" s="42" customFormat="1" ht="48.75" customHeight="1" thickTop="1" thickBot="1" x14ac:dyDescent="0.3">
      <c r="A143" s="307" t="s">
        <v>391</v>
      </c>
      <c r="B143" s="289" t="s">
        <v>285</v>
      </c>
      <c r="C143" s="289" t="s">
        <v>300</v>
      </c>
      <c r="D143" s="291">
        <v>3</v>
      </c>
      <c r="E143" s="292">
        <v>30</v>
      </c>
      <c r="F143" s="292">
        <v>3</v>
      </c>
      <c r="G143" s="291">
        <v>520</v>
      </c>
      <c r="H143" s="294">
        <v>200000000</v>
      </c>
      <c r="I143" s="295">
        <v>0</v>
      </c>
      <c r="J143" s="416" t="s">
        <v>394</v>
      </c>
      <c r="K143" s="299" t="s">
        <v>55</v>
      </c>
      <c r="L143" s="292">
        <v>2</v>
      </c>
      <c r="M143" s="292">
        <v>0</v>
      </c>
    </row>
    <row r="144" spans="1:13" s="42" customFormat="1" ht="48.75" customHeight="1" thickTop="1" thickBot="1" x14ac:dyDescent="0.3">
      <c r="A144" s="307" t="s">
        <v>391</v>
      </c>
      <c r="B144" s="289" t="s">
        <v>285</v>
      </c>
      <c r="C144" s="289" t="s">
        <v>300</v>
      </c>
      <c r="D144" s="291">
        <v>3</v>
      </c>
      <c r="E144" s="292">
        <v>30</v>
      </c>
      <c r="F144" s="292">
        <v>3</v>
      </c>
      <c r="G144" s="291">
        <v>530</v>
      </c>
      <c r="H144" s="294">
        <v>75000000</v>
      </c>
      <c r="I144" s="295">
        <v>0</v>
      </c>
      <c r="J144" s="416" t="s">
        <v>395</v>
      </c>
      <c r="K144" s="299" t="s">
        <v>396</v>
      </c>
      <c r="L144" s="292">
        <v>300</v>
      </c>
      <c r="M144" s="292">
        <v>0</v>
      </c>
    </row>
    <row r="145" spans="1:13" s="42" customFormat="1" ht="48.75" customHeight="1" thickTop="1" thickBot="1" x14ac:dyDescent="0.3">
      <c r="A145" s="307" t="s">
        <v>391</v>
      </c>
      <c r="B145" s="289" t="s">
        <v>285</v>
      </c>
      <c r="C145" s="289" t="s">
        <v>300</v>
      </c>
      <c r="D145" s="291">
        <v>3</v>
      </c>
      <c r="E145" s="292">
        <v>30</v>
      </c>
      <c r="F145" s="292">
        <v>3</v>
      </c>
      <c r="G145" s="291">
        <v>580</v>
      </c>
      <c r="H145" s="294">
        <v>26100000</v>
      </c>
      <c r="I145" s="295">
        <v>0</v>
      </c>
      <c r="J145" s="416" t="s">
        <v>397</v>
      </c>
      <c r="K145" s="299" t="s">
        <v>157</v>
      </c>
      <c r="L145" s="292">
        <v>1</v>
      </c>
      <c r="M145" s="292">
        <v>0</v>
      </c>
    </row>
    <row r="146" spans="1:13" s="42" customFormat="1" ht="16.5" thickTop="1" thickBot="1" x14ac:dyDescent="0.3">
      <c r="A146" s="314"/>
    </row>
    <row r="147" spans="1:13" s="42" customFormat="1" ht="30" customHeight="1" thickTop="1" thickBot="1" x14ac:dyDescent="0.3">
      <c r="A147" s="639" t="s">
        <v>0</v>
      </c>
      <c r="B147" s="639" t="s">
        <v>1</v>
      </c>
      <c r="C147" s="639" t="s">
        <v>2569</v>
      </c>
      <c r="D147" s="636" t="s">
        <v>1961</v>
      </c>
      <c r="E147" s="637"/>
      <c r="F147" s="637"/>
      <c r="G147" s="638"/>
      <c r="H147" s="636" t="s">
        <v>3</v>
      </c>
      <c r="I147" s="637"/>
      <c r="J147" s="636" t="s">
        <v>1962</v>
      </c>
      <c r="K147" s="637"/>
      <c r="L147" s="637"/>
      <c r="M147" s="638"/>
    </row>
    <row r="148" spans="1:13" s="42" customFormat="1" ht="34.5" customHeight="1" thickTop="1" thickBot="1" x14ac:dyDescent="0.3">
      <c r="A148" s="640"/>
      <c r="B148" s="640"/>
      <c r="C148" s="640"/>
      <c r="D148" s="209" t="s">
        <v>4</v>
      </c>
      <c r="E148" s="209" t="s">
        <v>5</v>
      </c>
      <c r="F148" s="209" t="s">
        <v>6</v>
      </c>
      <c r="G148" s="209" t="s">
        <v>7</v>
      </c>
      <c r="H148" s="209" t="s">
        <v>2</v>
      </c>
      <c r="I148" s="209" t="s">
        <v>3</v>
      </c>
      <c r="J148" s="209" t="s">
        <v>8</v>
      </c>
      <c r="K148" s="209" t="s">
        <v>9</v>
      </c>
      <c r="L148" s="209" t="s">
        <v>1963</v>
      </c>
      <c r="M148" s="209" t="s">
        <v>1964</v>
      </c>
    </row>
    <row r="149" spans="1:13" s="42" customFormat="1" ht="56.25" customHeight="1" thickTop="1" thickBot="1" x14ac:dyDescent="0.3">
      <c r="A149" s="307" t="s">
        <v>398</v>
      </c>
      <c r="B149" s="289" t="s">
        <v>285</v>
      </c>
      <c r="C149" s="289" t="s">
        <v>18</v>
      </c>
      <c r="D149" s="291">
        <v>3</v>
      </c>
      <c r="E149" s="291">
        <v>30</v>
      </c>
      <c r="F149" s="291">
        <v>3</v>
      </c>
      <c r="G149" s="291">
        <v>848</v>
      </c>
      <c r="H149" s="295">
        <v>573762970</v>
      </c>
      <c r="I149" s="294">
        <v>0</v>
      </c>
      <c r="J149" s="416" t="s">
        <v>1975</v>
      </c>
      <c r="K149" s="291" t="s">
        <v>20</v>
      </c>
      <c r="L149" s="291">
        <v>686</v>
      </c>
      <c r="M149" s="291">
        <v>0</v>
      </c>
    </row>
    <row r="150" spans="1:13" s="42" customFormat="1" ht="31.5" customHeight="1" thickTop="1" thickBot="1" x14ac:dyDescent="0.3">
      <c r="A150" s="307" t="s">
        <v>398</v>
      </c>
      <c r="B150" s="289" t="s">
        <v>285</v>
      </c>
      <c r="C150" s="654" t="s">
        <v>53</v>
      </c>
      <c r="D150" s="291">
        <v>3</v>
      </c>
      <c r="E150" s="291">
        <v>30</v>
      </c>
      <c r="F150" s="291">
        <v>3</v>
      </c>
      <c r="G150" s="291">
        <v>520</v>
      </c>
      <c r="H150" s="295">
        <f>180000000+220630654</f>
        <v>400630654</v>
      </c>
      <c r="I150" s="294">
        <v>115795080</v>
      </c>
      <c r="J150" s="416" t="s">
        <v>399</v>
      </c>
      <c r="K150" s="291" t="s">
        <v>55</v>
      </c>
      <c r="L150" s="291">
        <v>4</v>
      </c>
      <c r="M150" s="291">
        <v>1</v>
      </c>
    </row>
    <row r="151" spans="1:13" s="42" customFormat="1" ht="31.5" customHeight="1" thickTop="1" thickBot="1" x14ac:dyDescent="0.3">
      <c r="A151" s="307" t="s">
        <v>398</v>
      </c>
      <c r="B151" s="289" t="s">
        <v>285</v>
      </c>
      <c r="C151" s="654"/>
      <c r="D151" s="291">
        <v>3</v>
      </c>
      <c r="E151" s="291">
        <v>30</v>
      </c>
      <c r="F151" s="291">
        <v>3</v>
      </c>
      <c r="G151" s="291">
        <v>520</v>
      </c>
      <c r="H151" s="295">
        <f>809184512-H150-250000000</f>
        <v>158553858</v>
      </c>
      <c r="I151" s="294">
        <v>135057716</v>
      </c>
      <c r="J151" s="416" t="s">
        <v>400</v>
      </c>
      <c r="K151" s="291" t="s">
        <v>25</v>
      </c>
      <c r="L151" s="291">
        <v>12</v>
      </c>
      <c r="M151" s="291">
        <v>10</v>
      </c>
    </row>
    <row r="152" spans="1:13" s="42" customFormat="1" ht="31.5" customHeight="1" thickTop="1" thickBot="1" x14ac:dyDescent="0.3">
      <c r="A152" s="307" t="s">
        <v>398</v>
      </c>
      <c r="B152" s="289" t="s">
        <v>285</v>
      </c>
      <c r="C152" s="654"/>
      <c r="D152" s="291">
        <v>3</v>
      </c>
      <c r="E152" s="291">
        <v>30</v>
      </c>
      <c r="F152" s="291">
        <v>3</v>
      </c>
      <c r="G152" s="291">
        <v>520</v>
      </c>
      <c r="H152" s="295">
        <v>250000000</v>
      </c>
      <c r="I152" s="294">
        <f>SUM(252484179-I151)</f>
        <v>117426463</v>
      </c>
      <c r="J152" s="416" t="s">
        <v>401</v>
      </c>
      <c r="K152" s="291" t="s">
        <v>25</v>
      </c>
      <c r="L152" s="291">
        <v>5</v>
      </c>
      <c r="M152" s="291">
        <v>2</v>
      </c>
    </row>
    <row r="153" spans="1:13" s="42" customFormat="1" ht="44.25" customHeight="1" thickTop="1" thickBot="1" x14ac:dyDescent="0.3">
      <c r="A153" s="307" t="s">
        <v>398</v>
      </c>
      <c r="B153" s="289" t="s">
        <v>285</v>
      </c>
      <c r="C153" s="654"/>
      <c r="D153" s="291">
        <v>3</v>
      </c>
      <c r="E153" s="291">
        <v>30</v>
      </c>
      <c r="F153" s="291">
        <v>3</v>
      </c>
      <c r="G153" s="292">
        <v>540</v>
      </c>
      <c r="H153" s="294">
        <v>235421543</v>
      </c>
      <c r="I153" s="294">
        <v>0</v>
      </c>
      <c r="J153" s="416" t="s">
        <v>402</v>
      </c>
      <c r="K153" s="291" t="s">
        <v>17</v>
      </c>
      <c r="L153" s="291">
        <v>5</v>
      </c>
      <c r="M153" s="291">
        <v>0</v>
      </c>
    </row>
    <row r="154" spans="1:13" s="42" customFormat="1" ht="35.25" customHeight="1" thickTop="1" thickBot="1" x14ac:dyDescent="0.3">
      <c r="A154" s="307" t="s">
        <v>398</v>
      </c>
      <c r="B154" s="289" t="s">
        <v>285</v>
      </c>
      <c r="C154" s="413" t="s">
        <v>18</v>
      </c>
      <c r="D154" s="291">
        <v>3</v>
      </c>
      <c r="E154" s="291">
        <v>30</v>
      </c>
      <c r="F154" s="291">
        <v>3</v>
      </c>
      <c r="G154" s="291">
        <v>960</v>
      </c>
      <c r="H154" s="295">
        <v>350500000</v>
      </c>
      <c r="I154" s="294">
        <v>350500000</v>
      </c>
      <c r="J154" s="416" t="s">
        <v>403</v>
      </c>
      <c r="K154" s="291" t="s">
        <v>16</v>
      </c>
      <c r="L154" s="291">
        <v>1</v>
      </c>
      <c r="M154" s="291">
        <v>1</v>
      </c>
    </row>
    <row r="155" spans="1:13" s="42" customFormat="1" ht="49.5" customHeight="1" thickTop="1" thickBot="1" x14ac:dyDescent="0.3">
      <c r="A155" s="307" t="s">
        <v>398</v>
      </c>
      <c r="B155" s="289" t="s">
        <v>285</v>
      </c>
      <c r="C155" s="420" t="s">
        <v>53</v>
      </c>
      <c r="D155" s="291">
        <v>3</v>
      </c>
      <c r="E155" s="291">
        <v>30</v>
      </c>
      <c r="F155" s="291">
        <v>3</v>
      </c>
      <c r="G155" s="291">
        <v>980</v>
      </c>
      <c r="H155" s="295">
        <v>50582284</v>
      </c>
      <c r="I155" s="295">
        <v>50582284</v>
      </c>
      <c r="J155" s="416" t="s">
        <v>404</v>
      </c>
      <c r="K155" s="291" t="s">
        <v>16</v>
      </c>
      <c r="L155" s="291">
        <v>1</v>
      </c>
      <c r="M155" s="291">
        <v>1</v>
      </c>
    </row>
    <row r="156" spans="1:13" s="42" customFormat="1" ht="16.5" thickTop="1" thickBot="1" x14ac:dyDescent="0.3">
      <c r="A156" s="314"/>
    </row>
    <row r="157" spans="1:13" s="42" customFormat="1" ht="30" customHeight="1" thickTop="1" thickBot="1" x14ac:dyDescent="0.3">
      <c r="A157" s="639" t="s">
        <v>0</v>
      </c>
      <c r="B157" s="639" t="s">
        <v>1</v>
      </c>
      <c r="C157" s="639" t="s">
        <v>2569</v>
      </c>
      <c r="D157" s="636" t="s">
        <v>1961</v>
      </c>
      <c r="E157" s="637"/>
      <c r="F157" s="637"/>
      <c r="G157" s="638"/>
      <c r="H157" s="636" t="s">
        <v>3</v>
      </c>
      <c r="I157" s="637"/>
      <c r="J157" s="636" t="s">
        <v>1962</v>
      </c>
      <c r="K157" s="637"/>
      <c r="L157" s="637"/>
      <c r="M157" s="638"/>
    </row>
    <row r="158" spans="1:13" s="42" customFormat="1" ht="34.5" customHeight="1" thickTop="1" thickBot="1" x14ac:dyDescent="0.3">
      <c r="A158" s="640"/>
      <c r="B158" s="640"/>
      <c r="C158" s="640"/>
      <c r="D158" s="209" t="s">
        <v>4</v>
      </c>
      <c r="E158" s="209" t="s">
        <v>5</v>
      </c>
      <c r="F158" s="209" t="s">
        <v>6</v>
      </c>
      <c r="G158" s="209" t="s">
        <v>7</v>
      </c>
      <c r="H158" s="209" t="s">
        <v>2</v>
      </c>
      <c r="I158" s="209" t="s">
        <v>3</v>
      </c>
      <c r="J158" s="209" t="s">
        <v>8</v>
      </c>
      <c r="K158" s="209" t="s">
        <v>9</v>
      </c>
      <c r="L158" s="209" t="s">
        <v>1963</v>
      </c>
      <c r="M158" s="209" t="s">
        <v>1964</v>
      </c>
    </row>
    <row r="159" spans="1:13" s="42" customFormat="1" ht="75" customHeight="1" thickTop="1" thickBot="1" x14ac:dyDescent="0.3">
      <c r="A159" s="307" t="s">
        <v>405</v>
      </c>
      <c r="B159" s="289" t="s">
        <v>285</v>
      </c>
      <c r="C159" s="651" t="s">
        <v>18</v>
      </c>
      <c r="D159" s="289">
        <v>2</v>
      </c>
      <c r="E159" s="289">
        <v>30</v>
      </c>
      <c r="F159" s="289">
        <v>3</v>
      </c>
      <c r="G159" s="289">
        <v>848</v>
      </c>
      <c r="H159" s="417">
        <v>317573217</v>
      </c>
      <c r="I159" s="417">
        <v>139997000</v>
      </c>
      <c r="J159" s="416" t="s">
        <v>406</v>
      </c>
      <c r="K159" s="291" t="s">
        <v>20</v>
      </c>
      <c r="L159" s="292">
        <v>379</v>
      </c>
      <c r="M159" s="292">
        <v>379</v>
      </c>
    </row>
    <row r="160" spans="1:13" s="42" customFormat="1" ht="29.25" customHeight="1" thickTop="1" thickBot="1" x14ac:dyDescent="0.3">
      <c r="A160" s="307" t="s">
        <v>405</v>
      </c>
      <c r="B160" s="289" t="s">
        <v>285</v>
      </c>
      <c r="C160" s="653"/>
      <c r="D160" s="289">
        <v>2</v>
      </c>
      <c r="E160" s="289">
        <v>30</v>
      </c>
      <c r="F160" s="289">
        <v>3</v>
      </c>
      <c r="G160" s="289">
        <v>960</v>
      </c>
      <c r="H160" s="415">
        <v>234938920</v>
      </c>
      <c r="I160" s="415">
        <v>234938920</v>
      </c>
      <c r="J160" s="416" t="s">
        <v>407</v>
      </c>
      <c r="K160" s="291" t="s">
        <v>16</v>
      </c>
      <c r="L160" s="292">
        <v>3</v>
      </c>
      <c r="M160" s="292">
        <v>3</v>
      </c>
    </row>
    <row r="161" spans="1:13" s="42" customFormat="1" ht="37.5" customHeight="1" thickTop="1" thickBot="1" x14ac:dyDescent="0.3">
      <c r="A161" s="307" t="s">
        <v>405</v>
      </c>
      <c r="B161" s="289" t="s">
        <v>285</v>
      </c>
      <c r="C161" s="654" t="s">
        <v>53</v>
      </c>
      <c r="D161" s="289">
        <v>2</v>
      </c>
      <c r="E161" s="289">
        <v>30</v>
      </c>
      <c r="F161" s="289">
        <v>3</v>
      </c>
      <c r="G161" s="289">
        <v>520</v>
      </c>
      <c r="H161" s="415">
        <v>31275000</v>
      </c>
      <c r="I161" s="415">
        <v>0</v>
      </c>
      <c r="J161" s="416" t="s">
        <v>408</v>
      </c>
      <c r="K161" s="291" t="s">
        <v>55</v>
      </c>
      <c r="L161" s="292">
        <v>1</v>
      </c>
      <c r="M161" s="292">
        <v>0</v>
      </c>
    </row>
    <row r="162" spans="1:13" s="42" customFormat="1" ht="33" customHeight="1" thickTop="1" thickBot="1" x14ac:dyDescent="0.3">
      <c r="A162" s="307" t="s">
        <v>405</v>
      </c>
      <c r="B162" s="289" t="s">
        <v>285</v>
      </c>
      <c r="C162" s="654"/>
      <c r="D162" s="289">
        <v>2</v>
      </c>
      <c r="E162" s="289">
        <v>30</v>
      </c>
      <c r="F162" s="289">
        <v>3</v>
      </c>
      <c r="G162" s="289">
        <v>520</v>
      </c>
      <c r="H162" s="415">
        <v>48725000</v>
      </c>
      <c r="I162" s="415">
        <v>0</v>
      </c>
      <c r="J162" s="416" t="s">
        <v>409</v>
      </c>
      <c r="K162" s="291" t="s">
        <v>13</v>
      </c>
      <c r="L162" s="292">
        <v>1</v>
      </c>
      <c r="M162" s="292">
        <v>0</v>
      </c>
    </row>
    <row r="163" spans="1:13" s="42" customFormat="1" ht="33" customHeight="1" thickTop="1" thickBot="1" x14ac:dyDescent="0.3">
      <c r="A163" s="307" t="s">
        <v>405</v>
      </c>
      <c r="B163" s="289" t="s">
        <v>285</v>
      </c>
      <c r="C163" s="654"/>
      <c r="D163" s="289">
        <v>2</v>
      </c>
      <c r="E163" s="289">
        <v>30</v>
      </c>
      <c r="F163" s="289">
        <v>3</v>
      </c>
      <c r="G163" s="289">
        <v>520</v>
      </c>
      <c r="H163" s="415">
        <v>40000000</v>
      </c>
      <c r="I163" s="415">
        <v>0</v>
      </c>
      <c r="J163" s="416" t="s">
        <v>1976</v>
      </c>
      <c r="K163" s="291" t="s">
        <v>1977</v>
      </c>
      <c r="L163" s="292">
        <v>1</v>
      </c>
      <c r="M163" s="292">
        <v>0</v>
      </c>
    </row>
    <row r="164" spans="1:13" s="42" customFormat="1" ht="45" customHeight="1" thickTop="1" thickBot="1" x14ac:dyDescent="0.3">
      <c r="A164" s="307" t="s">
        <v>405</v>
      </c>
      <c r="B164" s="289" t="s">
        <v>285</v>
      </c>
      <c r="C164" s="654"/>
      <c r="D164" s="289">
        <v>2</v>
      </c>
      <c r="E164" s="289">
        <v>30</v>
      </c>
      <c r="F164" s="289">
        <v>3</v>
      </c>
      <c r="G164" s="289">
        <v>520</v>
      </c>
      <c r="H164" s="415">
        <v>14364650</v>
      </c>
      <c r="I164" s="415">
        <v>0</v>
      </c>
      <c r="J164" s="416" t="s">
        <v>411</v>
      </c>
      <c r="K164" s="291" t="s">
        <v>13</v>
      </c>
      <c r="L164" s="292">
        <v>2</v>
      </c>
      <c r="M164" s="292">
        <v>0</v>
      </c>
    </row>
    <row r="165" spans="1:13" s="42" customFormat="1" ht="31.5" customHeight="1" thickTop="1" thickBot="1" x14ac:dyDescent="0.3">
      <c r="A165" s="307" t="s">
        <v>405</v>
      </c>
      <c r="B165" s="289" t="s">
        <v>285</v>
      </c>
      <c r="C165" s="654"/>
      <c r="D165" s="289">
        <v>2</v>
      </c>
      <c r="E165" s="289">
        <v>30</v>
      </c>
      <c r="F165" s="289">
        <v>3</v>
      </c>
      <c r="G165" s="289">
        <v>520</v>
      </c>
      <c r="H165" s="415">
        <f>180795899-981376-11813920</f>
        <v>168000603</v>
      </c>
      <c r="I165" s="415">
        <v>140000000</v>
      </c>
      <c r="J165" s="416" t="s">
        <v>412</v>
      </c>
      <c r="K165" s="291" t="s">
        <v>55</v>
      </c>
      <c r="L165" s="292">
        <v>3</v>
      </c>
      <c r="M165" s="292">
        <v>2</v>
      </c>
    </row>
    <row r="166" spans="1:13" s="42" customFormat="1" ht="35.25" customHeight="1" thickTop="1" thickBot="1" x14ac:dyDescent="0.3">
      <c r="A166" s="307" t="s">
        <v>405</v>
      </c>
      <c r="B166" s="289" t="s">
        <v>285</v>
      </c>
      <c r="C166" s="654"/>
      <c r="D166" s="289">
        <v>2</v>
      </c>
      <c r="E166" s="289">
        <v>30</v>
      </c>
      <c r="F166" s="289">
        <v>3</v>
      </c>
      <c r="G166" s="289">
        <v>520</v>
      </c>
      <c r="H166" s="415">
        <v>56700000</v>
      </c>
      <c r="I166" s="415">
        <v>56700000</v>
      </c>
      <c r="J166" s="416" t="s">
        <v>413</v>
      </c>
      <c r="K166" s="291" t="s">
        <v>13</v>
      </c>
      <c r="L166" s="292">
        <v>1</v>
      </c>
      <c r="M166" s="292">
        <v>1</v>
      </c>
    </row>
    <row r="167" spans="1:13" s="42" customFormat="1" ht="35.25" customHeight="1" thickTop="1" thickBot="1" x14ac:dyDescent="0.3">
      <c r="A167" s="307" t="s">
        <v>405</v>
      </c>
      <c r="B167" s="289" t="s">
        <v>285</v>
      </c>
      <c r="C167" s="654"/>
      <c r="D167" s="289">
        <v>2</v>
      </c>
      <c r="E167" s="289">
        <v>30</v>
      </c>
      <c r="F167" s="289">
        <v>3</v>
      </c>
      <c r="G167" s="289">
        <v>540</v>
      </c>
      <c r="H167" s="415">
        <v>30400000</v>
      </c>
      <c r="I167" s="415">
        <v>24300000</v>
      </c>
      <c r="J167" s="416" t="s">
        <v>414</v>
      </c>
      <c r="K167" s="291" t="s">
        <v>17</v>
      </c>
      <c r="L167" s="292">
        <v>6</v>
      </c>
      <c r="M167" s="292">
        <v>5</v>
      </c>
    </row>
    <row r="168" spans="1:13" s="42" customFormat="1" ht="39.75" customHeight="1" thickTop="1" thickBot="1" x14ac:dyDescent="0.3">
      <c r="A168" s="307" t="s">
        <v>405</v>
      </c>
      <c r="B168" s="289" t="s">
        <v>285</v>
      </c>
      <c r="C168" s="289" t="s">
        <v>440</v>
      </c>
      <c r="D168" s="289">
        <v>2</v>
      </c>
      <c r="E168" s="289">
        <v>30</v>
      </c>
      <c r="F168" s="289">
        <v>3</v>
      </c>
      <c r="G168" s="289">
        <v>540</v>
      </c>
      <c r="H168" s="415">
        <v>18000000</v>
      </c>
      <c r="I168" s="415">
        <v>17000000</v>
      </c>
      <c r="J168" s="416" t="s">
        <v>415</v>
      </c>
      <c r="K168" s="291" t="s">
        <v>17</v>
      </c>
      <c r="L168" s="292">
        <v>3</v>
      </c>
      <c r="M168" s="292">
        <v>3</v>
      </c>
    </row>
    <row r="169" spans="1:13" s="42" customFormat="1" ht="39.75" customHeight="1" thickTop="1" thickBot="1" x14ac:dyDescent="0.3">
      <c r="A169" s="307" t="s">
        <v>405</v>
      </c>
      <c r="B169" s="289" t="s">
        <v>285</v>
      </c>
      <c r="C169" s="413" t="s">
        <v>105</v>
      </c>
      <c r="D169" s="289">
        <v>2</v>
      </c>
      <c r="E169" s="289">
        <v>30</v>
      </c>
      <c r="F169" s="289">
        <v>3</v>
      </c>
      <c r="G169" s="289">
        <v>540</v>
      </c>
      <c r="H169" s="415">
        <v>98600000</v>
      </c>
      <c r="I169" s="415">
        <v>90000000</v>
      </c>
      <c r="J169" s="416" t="s">
        <v>416</v>
      </c>
      <c r="K169" s="291" t="s">
        <v>17</v>
      </c>
      <c r="L169" s="292">
        <v>4</v>
      </c>
      <c r="M169" s="292">
        <v>4</v>
      </c>
    </row>
    <row r="170" spans="1:13" s="42" customFormat="1" ht="16.5" thickTop="1" thickBot="1" x14ac:dyDescent="0.3">
      <c r="A170" s="314"/>
    </row>
    <row r="171" spans="1:13" s="42" customFormat="1" ht="30" customHeight="1" thickTop="1" thickBot="1" x14ac:dyDescent="0.3">
      <c r="A171" s="639" t="s">
        <v>0</v>
      </c>
      <c r="B171" s="639" t="s">
        <v>1</v>
      </c>
      <c r="C171" s="639" t="s">
        <v>2569</v>
      </c>
      <c r="D171" s="636" t="s">
        <v>1961</v>
      </c>
      <c r="E171" s="637"/>
      <c r="F171" s="637"/>
      <c r="G171" s="638"/>
      <c r="H171" s="636" t="s">
        <v>3</v>
      </c>
      <c r="I171" s="637"/>
      <c r="J171" s="636" t="s">
        <v>1962</v>
      </c>
      <c r="K171" s="637"/>
      <c r="L171" s="637"/>
      <c r="M171" s="638"/>
    </row>
    <row r="172" spans="1:13" s="42" customFormat="1" ht="34.5" customHeight="1" thickTop="1" thickBot="1" x14ac:dyDescent="0.3">
      <c r="A172" s="640"/>
      <c r="B172" s="640"/>
      <c r="C172" s="640"/>
      <c r="D172" s="209" t="s">
        <v>4</v>
      </c>
      <c r="E172" s="209" t="s">
        <v>5</v>
      </c>
      <c r="F172" s="209" t="s">
        <v>6</v>
      </c>
      <c r="G172" s="209" t="s">
        <v>7</v>
      </c>
      <c r="H172" s="209" t="s">
        <v>2</v>
      </c>
      <c r="I172" s="209" t="s">
        <v>3</v>
      </c>
      <c r="J172" s="209" t="s">
        <v>8</v>
      </c>
      <c r="K172" s="209" t="s">
        <v>9</v>
      </c>
      <c r="L172" s="209" t="s">
        <v>1963</v>
      </c>
      <c r="M172" s="209" t="s">
        <v>1964</v>
      </c>
    </row>
    <row r="173" spans="1:13" s="42" customFormat="1" ht="69" thickTop="1" thickBot="1" x14ac:dyDescent="0.3">
      <c r="A173" s="290" t="s">
        <v>417</v>
      </c>
      <c r="B173" s="289" t="s">
        <v>285</v>
      </c>
      <c r="C173" s="289" t="s">
        <v>18</v>
      </c>
      <c r="D173" s="289">
        <v>3</v>
      </c>
      <c r="E173" s="289">
        <v>30</v>
      </c>
      <c r="F173" s="289">
        <v>3</v>
      </c>
      <c r="G173" s="289">
        <v>848</v>
      </c>
      <c r="H173" s="296">
        <v>311447481</v>
      </c>
      <c r="I173" s="296">
        <v>139068811</v>
      </c>
      <c r="J173" s="416" t="s">
        <v>418</v>
      </c>
      <c r="K173" s="291" t="s">
        <v>20</v>
      </c>
      <c r="L173" s="292">
        <v>215</v>
      </c>
      <c r="M173" s="292">
        <v>96</v>
      </c>
    </row>
    <row r="174" spans="1:13" s="42" customFormat="1" ht="51.75" customHeight="1" thickTop="1" thickBot="1" x14ac:dyDescent="0.3">
      <c r="A174" s="290" t="s">
        <v>417</v>
      </c>
      <c r="B174" s="289" t="s">
        <v>285</v>
      </c>
      <c r="C174" s="289" t="s">
        <v>53</v>
      </c>
      <c r="D174" s="289">
        <v>3</v>
      </c>
      <c r="E174" s="289">
        <v>30</v>
      </c>
      <c r="F174" s="289">
        <v>3</v>
      </c>
      <c r="G174" s="289">
        <v>520</v>
      </c>
      <c r="H174" s="296">
        <v>240000000</v>
      </c>
      <c r="I174" s="296">
        <v>70000000</v>
      </c>
      <c r="J174" s="416" t="s">
        <v>1979</v>
      </c>
      <c r="K174" s="291" t="s">
        <v>55</v>
      </c>
      <c r="L174" s="292">
        <v>3</v>
      </c>
      <c r="M174" s="292">
        <v>1</v>
      </c>
    </row>
    <row r="175" spans="1:13" s="42" customFormat="1" ht="51.75" customHeight="1" thickTop="1" thickBot="1" x14ac:dyDescent="0.3">
      <c r="A175" s="290" t="s">
        <v>417</v>
      </c>
      <c r="B175" s="289" t="s">
        <v>285</v>
      </c>
      <c r="C175" s="289" t="s">
        <v>53</v>
      </c>
      <c r="D175" s="289">
        <v>3</v>
      </c>
      <c r="E175" s="289">
        <v>30</v>
      </c>
      <c r="F175" s="289">
        <v>3</v>
      </c>
      <c r="G175" s="289">
        <v>520</v>
      </c>
      <c r="H175" s="296">
        <v>236710790</v>
      </c>
      <c r="I175" s="296">
        <v>63010138</v>
      </c>
      <c r="J175" s="416" t="s">
        <v>419</v>
      </c>
      <c r="K175" s="291" t="s">
        <v>103</v>
      </c>
      <c r="L175" s="292">
        <v>7</v>
      </c>
      <c r="M175" s="292">
        <v>2</v>
      </c>
    </row>
    <row r="176" spans="1:13" s="42" customFormat="1" ht="51.75" customHeight="1" thickTop="1" thickBot="1" x14ac:dyDescent="0.3">
      <c r="A176" s="290" t="s">
        <v>417</v>
      </c>
      <c r="B176" s="289" t="s">
        <v>285</v>
      </c>
      <c r="C176" s="291" t="s">
        <v>53</v>
      </c>
      <c r="D176" s="289">
        <v>3</v>
      </c>
      <c r="E176" s="289">
        <v>30</v>
      </c>
      <c r="F176" s="289">
        <v>3</v>
      </c>
      <c r="G176" s="289">
        <v>520</v>
      </c>
      <c r="H176" s="296">
        <v>125000000</v>
      </c>
      <c r="I176" s="296">
        <v>0</v>
      </c>
      <c r="J176" s="416" t="s">
        <v>1978</v>
      </c>
      <c r="K176" s="291" t="s">
        <v>15</v>
      </c>
      <c r="L176" s="292">
        <v>1</v>
      </c>
      <c r="M176" s="292">
        <v>0</v>
      </c>
    </row>
    <row r="177" spans="1:13" s="42" customFormat="1" ht="51.75" customHeight="1" thickTop="1" thickBot="1" x14ac:dyDescent="0.3">
      <c r="A177" s="290" t="s">
        <v>417</v>
      </c>
      <c r="B177" s="289" t="s">
        <v>285</v>
      </c>
      <c r="C177" s="291" t="s">
        <v>53</v>
      </c>
      <c r="D177" s="289">
        <v>3</v>
      </c>
      <c r="E177" s="289">
        <v>30</v>
      </c>
      <c r="F177" s="289">
        <v>3</v>
      </c>
      <c r="G177" s="289">
        <v>520</v>
      </c>
      <c r="H177" s="296">
        <v>125000000</v>
      </c>
      <c r="I177" s="412">
        <v>0</v>
      </c>
      <c r="J177" s="416" t="s">
        <v>420</v>
      </c>
      <c r="K177" s="291" t="s">
        <v>15</v>
      </c>
      <c r="L177" s="292">
        <v>1</v>
      </c>
      <c r="M177" s="292">
        <v>0</v>
      </c>
    </row>
    <row r="178" spans="1:13" ht="15.75" thickTop="1" x14ac:dyDescent="0.25"/>
  </sheetData>
  <mergeCells count="148">
    <mergeCell ref="J106:M106"/>
    <mergeCell ref="H22:I22"/>
    <mergeCell ref="I114:I115"/>
    <mergeCell ref="H114:H115"/>
    <mergeCell ref="H5:I5"/>
    <mergeCell ref="J5:M5"/>
    <mergeCell ref="H15:I15"/>
    <mergeCell ref="J15:M15"/>
    <mergeCell ref="H39:I39"/>
    <mergeCell ref="J39:M39"/>
    <mergeCell ref="H44:I44"/>
    <mergeCell ref="J44:M44"/>
    <mergeCell ref="H56:I56"/>
    <mergeCell ref="J56:M56"/>
    <mergeCell ref="J22:M22"/>
    <mergeCell ref="H30:I30"/>
    <mergeCell ref="J30:M30"/>
    <mergeCell ref="C33:C35"/>
    <mergeCell ref="C36:C37"/>
    <mergeCell ref="A39:A40"/>
    <mergeCell ref="B39:B40"/>
    <mergeCell ref="C39:C40"/>
    <mergeCell ref="H129:I129"/>
    <mergeCell ref="J129:M129"/>
    <mergeCell ref="H139:I139"/>
    <mergeCell ref="J139:M139"/>
    <mergeCell ref="H64:I64"/>
    <mergeCell ref="J64:M64"/>
    <mergeCell ref="H75:I75"/>
    <mergeCell ref="J75:M75"/>
    <mergeCell ref="H83:I83"/>
    <mergeCell ref="J83:M83"/>
    <mergeCell ref="H90:I90"/>
    <mergeCell ref="J90:M90"/>
    <mergeCell ref="H112:I112"/>
    <mergeCell ref="J112:M112"/>
    <mergeCell ref="H122:I122"/>
    <mergeCell ref="J122:M122"/>
    <mergeCell ref="H98:I98"/>
    <mergeCell ref="J98:M98"/>
    <mergeCell ref="H106:I106"/>
    <mergeCell ref="A22:A23"/>
    <mergeCell ref="B22:B23"/>
    <mergeCell ref="C22:C23"/>
    <mergeCell ref="D22:G22"/>
    <mergeCell ref="C24:C27"/>
    <mergeCell ref="A30:A31"/>
    <mergeCell ref="B30:B31"/>
    <mergeCell ref="C30:C31"/>
    <mergeCell ref="D30:G30"/>
    <mergeCell ref="A15:A16"/>
    <mergeCell ref="B15:B16"/>
    <mergeCell ref="C15:C16"/>
    <mergeCell ref="D15:G15"/>
    <mergeCell ref="A5:A6"/>
    <mergeCell ref="B5:B6"/>
    <mergeCell ref="C5:C6"/>
    <mergeCell ref="D5:G5"/>
    <mergeCell ref="C18:C20"/>
    <mergeCell ref="D39:G39"/>
    <mergeCell ref="C47:C53"/>
    <mergeCell ref="A56:A57"/>
    <mergeCell ref="B56:B57"/>
    <mergeCell ref="C56:C57"/>
    <mergeCell ref="A44:A45"/>
    <mergeCell ref="B44:B45"/>
    <mergeCell ref="C44:C45"/>
    <mergeCell ref="D44:G44"/>
    <mergeCell ref="D56:G56"/>
    <mergeCell ref="D90:G90"/>
    <mergeCell ref="A83:A84"/>
    <mergeCell ref="B83:B84"/>
    <mergeCell ref="C83:C84"/>
    <mergeCell ref="D83:G83"/>
    <mergeCell ref="C58:C62"/>
    <mergeCell ref="A64:A65"/>
    <mergeCell ref="B64:B65"/>
    <mergeCell ref="C64:C65"/>
    <mergeCell ref="D64:G64"/>
    <mergeCell ref="C67:C68"/>
    <mergeCell ref="A75:A76"/>
    <mergeCell ref="B75:B76"/>
    <mergeCell ref="C75:C76"/>
    <mergeCell ref="D75:G75"/>
    <mergeCell ref="C69:C70"/>
    <mergeCell ref="C72:C73"/>
    <mergeCell ref="D129:G129"/>
    <mergeCell ref="C116:C117"/>
    <mergeCell ref="A122:A123"/>
    <mergeCell ref="B122:B123"/>
    <mergeCell ref="C122:C123"/>
    <mergeCell ref="D122:G122"/>
    <mergeCell ref="A98:A99"/>
    <mergeCell ref="B98:B99"/>
    <mergeCell ref="C98:C99"/>
    <mergeCell ref="D98:G98"/>
    <mergeCell ref="F114:F115"/>
    <mergeCell ref="G114:G115"/>
    <mergeCell ref="A106:A107"/>
    <mergeCell ref="B106:B107"/>
    <mergeCell ref="C106:C107"/>
    <mergeCell ref="D106:G106"/>
    <mergeCell ref="A112:A113"/>
    <mergeCell ref="B112:B113"/>
    <mergeCell ref="C112:C113"/>
    <mergeCell ref="D112:G112"/>
    <mergeCell ref="C114:C115"/>
    <mergeCell ref="D114:D115"/>
    <mergeCell ref="E114:E115"/>
    <mergeCell ref="D157:G157"/>
    <mergeCell ref="C161:C167"/>
    <mergeCell ref="H171:I171"/>
    <mergeCell ref="J171:M171"/>
    <mergeCell ref="A171:A172"/>
    <mergeCell ref="B171:B172"/>
    <mergeCell ref="C171:C172"/>
    <mergeCell ref="D171:G171"/>
    <mergeCell ref="C133:C137"/>
    <mergeCell ref="A139:A140"/>
    <mergeCell ref="B139:B140"/>
    <mergeCell ref="C139:C140"/>
    <mergeCell ref="D139:G139"/>
    <mergeCell ref="A147:A148"/>
    <mergeCell ref="B147:B148"/>
    <mergeCell ref="C147:C148"/>
    <mergeCell ref="D147:G147"/>
    <mergeCell ref="H147:I147"/>
    <mergeCell ref="J147:M147"/>
    <mergeCell ref="H157:I157"/>
    <mergeCell ref="J157:M157"/>
    <mergeCell ref="B36:B37"/>
    <mergeCell ref="A36:A37"/>
    <mergeCell ref="C131:C132"/>
    <mergeCell ref="C100:C101"/>
    <mergeCell ref="C159:C160"/>
    <mergeCell ref="C150:C153"/>
    <mergeCell ref="A157:A158"/>
    <mergeCell ref="B157:B158"/>
    <mergeCell ref="C157:C158"/>
    <mergeCell ref="A129:A130"/>
    <mergeCell ref="B129:B130"/>
    <mergeCell ref="C129:C130"/>
    <mergeCell ref="C78:C81"/>
    <mergeCell ref="C86:C87"/>
    <mergeCell ref="A90:A91"/>
    <mergeCell ref="B90:B91"/>
    <mergeCell ref="C90:C91"/>
    <mergeCell ref="C92:C95"/>
  </mergeCells>
  <pageMargins left="0.7" right="0.7" top="0.75" bottom="0.75" header="0.3" footer="0.3"/>
  <pageSetup orientation="portrait" r:id="rId1"/>
  <ignoredErrors>
    <ignoredError sqref="L17:L2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155"/>
  <sheetViews>
    <sheetView showGridLines="0" zoomScaleNormal="100" workbookViewId="0">
      <selection activeCell="C5" sqref="C5:C6"/>
    </sheetView>
  </sheetViews>
  <sheetFormatPr baseColWidth="10" defaultRowHeight="15" x14ac:dyDescent="0.25"/>
  <cols>
    <col min="1" max="1" width="19.7109375" customWidth="1"/>
    <col min="2" max="2" width="19.85546875" customWidth="1"/>
    <col min="3" max="3" width="21.7109375" customWidth="1"/>
    <col min="4" max="7" width="8.7109375" customWidth="1"/>
    <col min="8" max="9" width="15.140625" customWidth="1"/>
    <col min="10" max="10" width="32.140625" customWidth="1"/>
    <col min="11" max="11" width="12.140625" customWidth="1"/>
    <col min="12" max="13" width="15" bestFit="1" customWidth="1"/>
  </cols>
  <sheetData>
    <row r="4" spans="1:13" ht="9.75" customHeight="1" thickBot="1" x14ac:dyDescent="0.3"/>
    <row r="5" spans="1:13" ht="30" customHeight="1" thickTop="1" thickBot="1" x14ac:dyDescent="0.3">
      <c r="A5" s="639" t="s">
        <v>0</v>
      </c>
      <c r="B5" s="639" t="s">
        <v>1</v>
      </c>
      <c r="C5" s="639" t="s">
        <v>2569</v>
      </c>
      <c r="D5" s="636" t="s">
        <v>1961</v>
      </c>
      <c r="E5" s="637"/>
      <c r="F5" s="637"/>
      <c r="G5" s="638"/>
      <c r="H5" s="636" t="s">
        <v>3</v>
      </c>
      <c r="I5" s="637"/>
      <c r="J5" s="636" t="s">
        <v>1962</v>
      </c>
      <c r="K5" s="637"/>
      <c r="L5" s="637"/>
      <c r="M5" s="638"/>
    </row>
    <row r="6" spans="1:13" ht="35.25" customHeight="1" thickTop="1" thickBot="1" x14ac:dyDescent="0.3">
      <c r="A6" s="640"/>
      <c r="B6" s="640"/>
      <c r="C6" s="640"/>
      <c r="D6" s="209" t="s">
        <v>4</v>
      </c>
      <c r="E6" s="209" t="s">
        <v>5</v>
      </c>
      <c r="F6" s="209" t="s">
        <v>6</v>
      </c>
      <c r="G6" s="209" t="s">
        <v>7</v>
      </c>
      <c r="H6" s="209" t="s">
        <v>2</v>
      </c>
      <c r="I6" s="209" t="s">
        <v>3</v>
      </c>
      <c r="J6" s="209" t="s">
        <v>8</v>
      </c>
      <c r="K6" s="209" t="s">
        <v>9</v>
      </c>
      <c r="L6" s="209" t="s">
        <v>1963</v>
      </c>
      <c r="M6" s="209" t="s">
        <v>1964</v>
      </c>
    </row>
    <row r="7" spans="1:13" ht="55.5" customHeight="1" thickTop="1" thickBot="1" x14ac:dyDescent="0.3">
      <c r="A7" s="211" t="s">
        <v>1960</v>
      </c>
      <c r="B7" s="210" t="s">
        <v>2504</v>
      </c>
      <c r="C7" s="211" t="s">
        <v>18</v>
      </c>
      <c r="D7" s="211">
        <v>2</v>
      </c>
      <c r="E7" s="211">
        <v>30</v>
      </c>
      <c r="F7" s="211">
        <v>3</v>
      </c>
      <c r="G7" s="211">
        <v>848</v>
      </c>
      <c r="H7" s="212">
        <f>415701054+108612239</f>
        <v>524313293</v>
      </c>
      <c r="I7" s="213">
        <v>181223900</v>
      </c>
      <c r="J7" s="216" t="s">
        <v>421</v>
      </c>
      <c r="K7" s="214" t="s">
        <v>20</v>
      </c>
      <c r="L7" s="219">
        <v>959</v>
      </c>
      <c r="M7" s="214">
        <v>340</v>
      </c>
    </row>
    <row r="8" spans="1:13" ht="48.75" customHeight="1" thickTop="1" thickBot="1" x14ac:dyDescent="0.3">
      <c r="A8" s="211" t="s">
        <v>1960</v>
      </c>
      <c r="B8" s="210" t="s">
        <v>2505</v>
      </c>
      <c r="C8" s="211" t="s">
        <v>53</v>
      </c>
      <c r="D8" s="211">
        <v>2</v>
      </c>
      <c r="E8" s="211">
        <v>30</v>
      </c>
      <c r="F8" s="211">
        <v>3</v>
      </c>
      <c r="G8" s="211">
        <v>520</v>
      </c>
      <c r="H8" s="212">
        <f>1136227503-H9</f>
        <v>785586040</v>
      </c>
      <c r="I8" s="213">
        <v>0</v>
      </c>
      <c r="J8" s="216" t="s">
        <v>422</v>
      </c>
      <c r="K8" s="214" t="s">
        <v>55</v>
      </c>
      <c r="L8" s="219">
        <v>12</v>
      </c>
      <c r="M8" s="214">
        <v>0</v>
      </c>
    </row>
    <row r="9" spans="1:13" ht="48.75" customHeight="1" thickTop="1" thickBot="1" x14ac:dyDescent="0.3">
      <c r="A9" s="211" t="s">
        <v>1960</v>
      </c>
      <c r="B9" s="210" t="s">
        <v>2506</v>
      </c>
      <c r="C9" s="211" t="s">
        <v>53</v>
      </c>
      <c r="D9" s="211">
        <v>2</v>
      </c>
      <c r="E9" s="211">
        <v>30</v>
      </c>
      <c r="F9" s="211">
        <v>3</v>
      </c>
      <c r="G9" s="211">
        <v>520</v>
      </c>
      <c r="H9" s="212">
        <v>350641463</v>
      </c>
      <c r="I9" s="213">
        <v>350641463</v>
      </c>
      <c r="J9" s="216" t="s">
        <v>423</v>
      </c>
      <c r="K9" s="214" t="s">
        <v>81</v>
      </c>
      <c r="L9" s="219">
        <v>10</v>
      </c>
      <c r="M9" s="214">
        <v>10</v>
      </c>
    </row>
    <row r="10" spans="1:13" ht="43.5" customHeight="1" thickTop="1" thickBot="1" x14ac:dyDescent="0.3">
      <c r="A10" s="211" t="s">
        <v>1960</v>
      </c>
      <c r="B10" s="210" t="s">
        <v>2507</v>
      </c>
      <c r="C10" s="211" t="s">
        <v>105</v>
      </c>
      <c r="D10" s="211">
        <v>2</v>
      </c>
      <c r="E10" s="211">
        <v>30</v>
      </c>
      <c r="F10" s="211">
        <v>3</v>
      </c>
      <c r="G10" s="211">
        <v>540</v>
      </c>
      <c r="H10" s="212">
        <v>90670180</v>
      </c>
      <c r="I10" s="213">
        <v>0</v>
      </c>
      <c r="J10" s="216" t="s">
        <v>424</v>
      </c>
      <c r="K10" s="316" t="s">
        <v>383</v>
      </c>
      <c r="L10" s="219">
        <v>25</v>
      </c>
      <c r="M10" s="214">
        <v>0</v>
      </c>
    </row>
    <row r="11" spans="1:13" ht="16.5" thickTop="1" thickBot="1" x14ac:dyDescent="0.3">
      <c r="A11" s="44"/>
      <c r="B11" s="43"/>
      <c r="C11" s="45"/>
      <c r="D11" s="46"/>
      <c r="E11" s="47"/>
      <c r="F11" s="47"/>
      <c r="G11" s="47"/>
      <c r="H11" s="16"/>
      <c r="I11" s="16"/>
      <c r="J11" s="46"/>
      <c r="K11" s="20"/>
      <c r="L11" s="20"/>
      <c r="M11" s="16"/>
    </row>
    <row r="12" spans="1:13" ht="30" customHeight="1" thickTop="1" thickBot="1" x14ac:dyDescent="0.3">
      <c r="A12" s="639" t="s">
        <v>0</v>
      </c>
      <c r="B12" s="639" t="s">
        <v>1</v>
      </c>
      <c r="C12" s="639" t="s">
        <v>2569</v>
      </c>
      <c r="D12" s="636" t="s">
        <v>1961</v>
      </c>
      <c r="E12" s="637"/>
      <c r="F12" s="637"/>
      <c r="G12" s="638"/>
      <c r="H12" s="636" t="s">
        <v>3</v>
      </c>
      <c r="I12" s="637"/>
      <c r="J12" s="636" t="s">
        <v>1962</v>
      </c>
      <c r="K12" s="637"/>
      <c r="L12" s="637"/>
      <c r="M12" s="638"/>
    </row>
    <row r="13" spans="1:13" ht="34.5" customHeight="1" thickTop="1" thickBot="1" x14ac:dyDescent="0.3">
      <c r="A13" s="640"/>
      <c r="B13" s="640"/>
      <c r="C13" s="640"/>
      <c r="D13" s="209" t="s">
        <v>4</v>
      </c>
      <c r="E13" s="209" t="s">
        <v>5</v>
      </c>
      <c r="F13" s="209" t="s">
        <v>6</v>
      </c>
      <c r="G13" s="209" t="s">
        <v>7</v>
      </c>
      <c r="H13" s="209" t="s">
        <v>2</v>
      </c>
      <c r="I13" s="209" t="s">
        <v>3</v>
      </c>
      <c r="J13" s="209" t="s">
        <v>8</v>
      </c>
      <c r="K13" s="209" t="s">
        <v>9</v>
      </c>
      <c r="L13" s="209" t="s">
        <v>1963</v>
      </c>
      <c r="M13" s="209" t="s">
        <v>1964</v>
      </c>
    </row>
    <row r="14" spans="1:13" s="37" customFormat="1" ht="49.5" customHeight="1" thickTop="1" thickBot="1" x14ac:dyDescent="0.3">
      <c r="A14" s="211" t="s">
        <v>426</v>
      </c>
      <c r="B14" s="210" t="s">
        <v>2507</v>
      </c>
      <c r="C14" s="649" t="s">
        <v>18</v>
      </c>
      <c r="D14" s="211">
        <v>3</v>
      </c>
      <c r="E14" s="211">
        <v>30</v>
      </c>
      <c r="F14" s="211">
        <v>3</v>
      </c>
      <c r="G14" s="211">
        <v>848</v>
      </c>
      <c r="H14" s="212">
        <v>297514166</v>
      </c>
      <c r="I14" s="213">
        <v>160347800</v>
      </c>
      <c r="J14" s="216" t="s">
        <v>427</v>
      </c>
      <c r="K14" s="214" t="s">
        <v>20</v>
      </c>
      <c r="L14" s="219">
        <v>228</v>
      </c>
      <c r="M14" s="214">
        <v>228</v>
      </c>
    </row>
    <row r="15" spans="1:13" ht="42.75" customHeight="1" thickTop="1" thickBot="1" x14ac:dyDescent="0.3">
      <c r="A15" s="211" t="s">
        <v>426</v>
      </c>
      <c r="B15" s="210" t="s">
        <v>2508</v>
      </c>
      <c r="C15" s="650"/>
      <c r="D15" s="211">
        <v>3</v>
      </c>
      <c r="E15" s="211">
        <v>30</v>
      </c>
      <c r="F15" s="211">
        <v>3</v>
      </c>
      <c r="G15" s="211">
        <v>960</v>
      </c>
      <c r="H15" s="212">
        <v>50000000</v>
      </c>
      <c r="I15" s="213">
        <v>50000000</v>
      </c>
      <c r="J15" s="216" t="s">
        <v>428</v>
      </c>
      <c r="K15" s="214" t="s">
        <v>16</v>
      </c>
      <c r="L15" s="219">
        <v>1</v>
      </c>
      <c r="M15" s="214">
        <v>1</v>
      </c>
    </row>
    <row r="16" spans="1:13" ht="45.75" customHeight="1" thickTop="1" thickBot="1" x14ac:dyDescent="0.3">
      <c r="A16" s="211" t="s">
        <v>426</v>
      </c>
      <c r="B16" s="210" t="s">
        <v>2509</v>
      </c>
      <c r="C16" s="211" t="s">
        <v>53</v>
      </c>
      <c r="D16" s="211">
        <v>3</v>
      </c>
      <c r="E16" s="211">
        <v>30</v>
      </c>
      <c r="F16" s="211">
        <v>3</v>
      </c>
      <c r="G16" s="211">
        <v>520</v>
      </c>
      <c r="H16" s="212">
        <v>166043469</v>
      </c>
      <c r="I16" s="213">
        <v>166043469</v>
      </c>
      <c r="J16" s="216" t="s">
        <v>429</v>
      </c>
      <c r="K16" s="214" t="s">
        <v>55</v>
      </c>
      <c r="L16" s="219">
        <v>2</v>
      </c>
      <c r="M16" s="214">
        <v>2</v>
      </c>
    </row>
    <row r="17" spans="1:13" ht="46.5" thickTop="1" thickBot="1" x14ac:dyDescent="0.3">
      <c r="A17" s="211" t="s">
        <v>426</v>
      </c>
      <c r="B17" s="210" t="s">
        <v>2510</v>
      </c>
      <c r="C17" s="211" t="s">
        <v>53</v>
      </c>
      <c r="D17" s="211">
        <v>3</v>
      </c>
      <c r="E17" s="211">
        <v>30</v>
      </c>
      <c r="F17" s="211">
        <v>3</v>
      </c>
      <c r="G17" s="211">
        <v>520</v>
      </c>
      <c r="H17" s="212">
        <v>166043468</v>
      </c>
      <c r="I17" s="213">
        <v>166043468</v>
      </c>
      <c r="J17" s="216" t="s">
        <v>430</v>
      </c>
      <c r="K17" s="214" t="s">
        <v>25</v>
      </c>
      <c r="L17" s="219">
        <v>2</v>
      </c>
      <c r="M17" s="214">
        <v>2</v>
      </c>
    </row>
    <row r="18" spans="1:13" ht="46.5" thickTop="1" thickBot="1" x14ac:dyDescent="0.3">
      <c r="A18" s="211" t="s">
        <v>426</v>
      </c>
      <c r="B18" s="210" t="s">
        <v>2511</v>
      </c>
      <c r="C18" s="211" t="s">
        <v>53</v>
      </c>
      <c r="D18" s="211">
        <v>3</v>
      </c>
      <c r="E18" s="211">
        <v>30</v>
      </c>
      <c r="F18" s="211">
        <v>3</v>
      </c>
      <c r="G18" s="211">
        <v>520</v>
      </c>
      <c r="H18" s="212">
        <v>160000000</v>
      </c>
      <c r="I18" s="213">
        <v>160000000</v>
      </c>
      <c r="J18" s="216" t="s">
        <v>431</v>
      </c>
      <c r="K18" s="214" t="s">
        <v>55</v>
      </c>
      <c r="L18" s="219">
        <v>2</v>
      </c>
      <c r="M18" s="214">
        <v>2</v>
      </c>
    </row>
    <row r="19" spans="1:13" ht="48" customHeight="1" thickTop="1" thickBot="1" x14ac:dyDescent="0.3">
      <c r="A19" s="211" t="s">
        <v>426</v>
      </c>
      <c r="B19" s="210" t="s">
        <v>2512</v>
      </c>
      <c r="C19" s="211" t="s">
        <v>53</v>
      </c>
      <c r="D19" s="211">
        <v>3</v>
      </c>
      <c r="E19" s="211">
        <v>30</v>
      </c>
      <c r="F19" s="211">
        <v>3</v>
      </c>
      <c r="G19" s="211">
        <v>520</v>
      </c>
      <c r="H19" s="212">
        <v>90000000</v>
      </c>
      <c r="I19" s="213">
        <v>90000000</v>
      </c>
      <c r="J19" s="216" t="s">
        <v>432</v>
      </c>
      <c r="K19" s="214" t="s">
        <v>25</v>
      </c>
      <c r="L19" s="219">
        <v>2</v>
      </c>
      <c r="M19" s="214">
        <v>2</v>
      </c>
    </row>
    <row r="20" spans="1:13" ht="46.5" thickTop="1" thickBot="1" x14ac:dyDescent="0.3">
      <c r="A20" s="211" t="s">
        <v>426</v>
      </c>
      <c r="B20" s="210" t="s">
        <v>2513</v>
      </c>
      <c r="C20" s="211" t="s">
        <v>53</v>
      </c>
      <c r="D20" s="211">
        <v>3</v>
      </c>
      <c r="E20" s="211">
        <v>30</v>
      </c>
      <c r="F20" s="211">
        <v>3</v>
      </c>
      <c r="G20" s="211">
        <v>520</v>
      </c>
      <c r="H20" s="212">
        <v>14024456</v>
      </c>
      <c r="I20" s="213">
        <v>14024456</v>
      </c>
      <c r="J20" s="216" t="s">
        <v>433</v>
      </c>
      <c r="K20" s="214" t="s">
        <v>55</v>
      </c>
      <c r="L20" s="219">
        <v>1</v>
      </c>
      <c r="M20" s="214">
        <v>1</v>
      </c>
    </row>
    <row r="21" spans="1:13" ht="46.5" thickTop="1" thickBot="1" x14ac:dyDescent="0.3">
      <c r="A21" s="211" t="s">
        <v>426</v>
      </c>
      <c r="B21" s="210" t="s">
        <v>2514</v>
      </c>
      <c r="C21" s="211" t="s">
        <v>53</v>
      </c>
      <c r="D21" s="211">
        <v>3</v>
      </c>
      <c r="E21" s="211">
        <v>30</v>
      </c>
      <c r="F21" s="211">
        <v>3</v>
      </c>
      <c r="G21" s="211">
        <v>520</v>
      </c>
      <c r="H21" s="212">
        <v>30078000</v>
      </c>
      <c r="I21" s="213">
        <v>30078000</v>
      </c>
      <c r="J21" s="216" t="s">
        <v>434</v>
      </c>
      <c r="K21" s="214" t="s">
        <v>55</v>
      </c>
      <c r="L21" s="219">
        <v>1</v>
      </c>
      <c r="M21" s="214">
        <v>1</v>
      </c>
    </row>
    <row r="22" spans="1:13" ht="47.25" customHeight="1" thickTop="1" thickBot="1" x14ac:dyDescent="0.3">
      <c r="A22" s="211" t="s">
        <v>426</v>
      </c>
      <c r="B22" s="210" t="s">
        <v>2515</v>
      </c>
      <c r="C22" s="211" t="s">
        <v>53</v>
      </c>
      <c r="D22" s="211">
        <v>3</v>
      </c>
      <c r="E22" s="211">
        <v>30</v>
      </c>
      <c r="F22" s="211">
        <v>3</v>
      </c>
      <c r="G22" s="211">
        <v>520</v>
      </c>
      <c r="H22" s="212">
        <v>60000000</v>
      </c>
      <c r="I22" s="213">
        <v>60000000</v>
      </c>
      <c r="J22" s="216" t="s">
        <v>435</v>
      </c>
      <c r="K22" s="214" t="s">
        <v>13</v>
      </c>
      <c r="L22" s="219">
        <v>1</v>
      </c>
      <c r="M22" s="214">
        <v>1</v>
      </c>
    </row>
    <row r="23" spans="1:13" ht="48.75" customHeight="1" thickTop="1" thickBot="1" x14ac:dyDescent="0.3">
      <c r="A23" s="211" t="s">
        <v>426</v>
      </c>
      <c r="B23" s="210" t="s">
        <v>2516</v>
      </c>
      <c r="C23" s="211" t="s">
        <v>53</v>
      </c>
      <c r="D23" s="211">
        <v>3</v>
      </c>
      <c r="E23" s="211">
        <v>30</v>
      </c>
      <c r="F23" s="211">
        <v>3</v>
      </c>
      <c r="G23" s="211">
        <v>520</v>
      </c>
      <c r="H23" s="212">
        <v>124677000</v>
      </c>
      <c r="I23" s="213">
        <v>124677000</v>
      </c>
      <c r="J23" s="216" t="s">
        <v>436</v>
      </c>
      <c r="K23" s="214" t="s">
        <v>55</v>
      </c>
      <c r="L23" s="219">
        <v>3</v>
      </c>
      <c r="M23" s="214">
        <v>3</v>
      </c>
    </row>
    <row r="24" spans="1:13" ht="16.5" thickTop="1" thickBot="1" x14ac:dyDescent="0.3">
      <c r="A24" s="44"/>
      <c r="B24" s="43"/>
      <c r="C24" s="45"/>
      <c r="D24" s="46"/>
      <c r="E24" s="46"/>
      <c r="F24" s="46"/>
      <c r="G24" s="46"/>
      <c r="H24" s="48"/>
      <c r="I24" s="48"/>
      <c r="J24" s="46"/>
      <c r="K24" s="46"/>
      <c r="L24" s="48"/>
      <c r="M24" s="48"/>
    </row>
    <row r="25" spans="1:13" ht="30" customHeight="1" thickTop="1" thickBot="1" x14ac:dyDescent="0.3">
      <c r="A25" s="639" t="s">
        <v>0</v>
      </c>
      <c r="B25" s="639" t="s">
        <v>1</v>
      </c>
      <c r="C25" s="639" t="s">
        <v>2569</v>
      </c>
      <c r="D25" s="636" t="s">
        <v>1961</v>
      </c>
      <c r="E25" s="637"/>
      <c r="F25" s="637"/>
      <c r="G25" s="638"/>
      <c r="H25" s="636" t="s">
        <v>3</v>
      </c>
      <c r="I25" s="637"/>
      <c r="J25" s="636" t="s">
        <v>1962</v>
      </c>
      <c r="K25" s="637"/>
      <c r="L25" s="637"/>
      <c r="M25" s="638"/>
    </row>
    <row r="26" spans="1:13" ht="34.5" customHeight="1" thickTop="1" thickBot="1" x14ac:dyDescent="0.3">
      <c r="A26" s="640"/>
      <c r="B26" s="640"/>
      <c r="C26" s="640"/>
      <c r="D26" s="209" t="s">
        <v>4</v>
      </c>
      <c r="E26" s="209" t="s">
        <v>5</v>
      </c>
      <c r="F26" s="209" t="s">
        <v>6</v>
      </c>
      <c r="G26" s="209" t="s">
        <v>7</v>
      </c>
      <c r="H26" s="209" t="s">
        <v>2</v>
      </c>
      <c r="I26" s="209" t="s">
        <v>3</v>
      </c>
      <c r="J26" s="209" t="s">
        <v>8</v>
      </c>
      <c r="K26" s="209" t="s">
        <v>9</v>
      </c>
      <c r="L26" s="209" t="s">
        <v>1963</v>
      </c>
      <c r="M26" s="209" t="s">
        <v>1964</v>
      </c>
    </row>
    <row r="27" spans="1:13" ht="105" customHeight="1" thickTop="1" thickBot="1" x14ac:dyDescent="0.3">
      <c r="A27" s="211" t="s">
        <v>2503</v>
      </c>
      <c r="B27" s="210" t="s">
        <v>2517</v>
      </c>
      <c r="C27" s="649" t="s">
        <v>18</v>
      </c>
      <c r="D27" s="211">
        <v>3</v>
      </c>
      <c r="E27" s="211">
        <v>30</v>
      </c>
      <c r="F27" s="211">
        <v>3</v>
      </c>
      <c r="G27" s="211">
        <v>848</v>
      </c>
      <c r="H27" s="212" t="s">
        <v>437</v>
      </c>
      <c r="I27" s="213">
        <v>187720000</v>
      </c>
      <c r="J27" s="216" t="s">
        <v>438</v>
      </c>
      <c r="K27" s="214" t="s">
        <v>20</v>
      </c>
      <c r="L27" s="219">
        <v>361</v>
      </c>
      <c r="M27" s="214">
        <v>361</v>
      </c>
    </row>
    <row r="28" spans="1:13" ht="63" customHeight="1" thickTop="1" thickBot="1" x14ac:dyDescent="0.3">
      <c r="A28" s="211" t="s">
        <v>2503</v>
      </c>
      <c r="B28" s="210" t="s">
        <v>2517</v>
      </c>
      <c r="C28" s="650"/>
      <c r="D28" s="211">
        <v>3</v>
      </c>
      <c r="E28" s="211">
        <v>30</v>
      </c>
      <c r="F28" s="211">
        <v>3</v>
      </c>
      <c r="G28" s="211">
        <v>960</v>
      </c>
      <c r="H28" s="212">
        <v>31000000</v>
      </c>
      <c r="I28" s="213">
        <v>31000000</v>
      </c>
      <c r="J28" s="216" t="s">
        <v>439</v>
      </c>
      <c r="K28" s="214" t="s">
        <v>16</v>
      </c>
      <c r="L28" s="219">
        <v>1</v>
      </c>
      <c r="M28" s="214">
        <v>1</v>
      </c>
    </row>
    <row r="29" spans="1:13" ht="39.75" customHeight="1" thickTop="1" thickBot="1" x14ac:dyDescent="0.3">
      <c r="A29" s="627" t="s">
        <v>2503</v>
      </c>
      <c r="B29" s="210" t="s">
        <v>2517</v>
      </c>
      <c r="C29" s="211" t="s">
        <v>440</v>
      </c>
      <c r="D29" s="211">
        <v>3</v>
      </c>
      <c r="E29" s="211">
        <v>30</v>
      </c>
      <c r="F29" s="211">
        <v>3</v>
      </c>
      <c r="G29" s="211">
        <v>520</v>
      </c>
      <c r="H29" s="212">
        <v>150000000</v>
      </c>
      <c r="I29" s="213">
        <v>100120000</v>
      </c>
      <c r="J29" s="216" t="s">
        <v>441</v>
      </c>
      <c r="K29" s="214" t="s">
        <v>1462</v>
      </c>
      <c r="L29" s="219">
        <v>1</v>
      </c>
      <c r="M29" s="214">
        <v>1</v>
      </c>
    </row>
    <row r="30" spans="1:13" ht="48" customHeight="1" thickTop="1" thickBot="1" x14ac:dyDescent="0.3">
      <c r="A30" s="627" t="s">
        <v>2503</v>
      </c>
      <c r="B30" s="210" t="s">
        <v>2517</v>
      </c>
      <c r="C30" s="211" t="s">
        <v>179</v>
      </c>
      <c r="D30" s="211">
        <v>3</v>
      </c>
      <c r="E30" s="211">
        <v>30</v>
      </c>
      <c r="F30" s="211">
        <v>3</v>
      </c>
      <c r="G30" s="211">
        <v>520</v>
      </c>
      <c r="H30" s="212">
        <v>611817937</v>
      </c>
      <c r="I30" s="213">
        <v>108000000</v>
      </c>
      <c r="J30" s="216" t="s">
        <v>442</v>
      </c>
      <c r="K30" s="214" t="s">
        <v>55</v>
      </c>
      <c r="L30" s="219">
        <v>4</v>
      </c>
      <c r="M30" s="214">
        <v>1</v>
      </c>
    </row>
    <row r="31" spans="1:13" ht="48" customHeight="1" thickTop="1" thickBot="1" x14ac:dyDescent="0.3">
      <c r="A31" s="627" t="s">
        <v>2503</v>
      </c>
      <c r="B31" s="210" t="s">
        <v>2517</v>
      </c>
      <c r="C31" s="211" t="s">
        <v>179</v>
      </c>
      <c r="D31" s="211">
        <v>3</v>
      </c>
      <c r="E31" s="211">
        <v>30</v>
      </c>
      <c r="F31" s="211">
        <v>3</v>
      </c>
      <c r="G31" s="211">
        <v>980</v>
      </c>
      <c r="H31" s="212">
        <v>25000000</v>
      </c>
      <c r="I31" s="213">
        <v>25000000</v>
      </c>
      <c r="J31" s="216" t="s">
        <v>443</v>
      </c>
      <c r="K31" s="214" t="s">
        <v>16</v>
      </c>
      <c r="L31" s="219">
        <v>1</v>
      </c>
      <c r="M31" s="214">
        <v>0</v>
      </c>
    </row>
    <row r="32" spans="1:13" s="13" customFormat="1" ht="16.5" thickTop="1" thickBot="1" x14ac:dyDescent="0.3">
      <c r="A32" s="50"/>
      <c r="B32" s="50"/>
      <c r="C32" s="51"/>
      <c r="D32" s="51"/>
      <c r="E32" s="52"/>
      <c r="F32" s="51"/>
      <c r="G32" s="52"/>
      <c r="H32" s="52"/>
      <c r="I32" s="52"/>
      <c r="J32" s="51"/>
      <c r="K32" s="52"/>
      <c r="L32" s="51"/>
      <c r="M32" s="52"/>
    </row>
    <row r="33" spans="1:13" ht="30" customHeight="1" thickTop="1" thickBot="1" x14ac:dyDescent="0.3">
      <c r="A33" s="639" t="s">
        <v>0</v>
      </c>
      <c r="B33" s="639" t="s">
        <v>1</v>
      </c>
      <c r="C33" s="639" t="s">
        <v>2569</v>
      </c>
      <c r="D33" s="636" t="s">
        <v>1961</v>
      </c>
      <c r="E33" s="637"/>
      <c r="F33" s="637"/>
      <c r="G33" s="638"/>
      <c r="H33" s="636" t="s">
        <v>3</v>
      </c>
      <c r="I33" s="637"/>
      <c r="J33" s="636" t="s">
        <v>1962</v>
      </c>
      <c r="K33" s="637"/>
      <c r="L33" s="637"/>
      <c r="M33" s="638"/>
    </row>
    <row r="34" spans="1:13" ht="34.5" customHeight="1" thickTop="1" thickBot="1" x14ac:dyDescent="0.3">
      <c r="A34" s="640"/>
      <c r="B34" s="640"/>
      <c r="C34" s="640"/>
      <c r="D34" s="209" t="s">
        <v>4</v>
      </c>
      <c r="E34" s="209" t="s">
        <v>5</v>
      </c>
      <c r="F34" s="209" t="s">
        <v>6</v>
      </c>
      <c r="G34" s="209" t="s">
        <v>7</v>
      </c>
      <c r="H34" s="209" t="s">
        <v>2</v>
      </c>
      <c r="I34" s="209" t="s">
        <v>3</v>
      </c>
      <c r="J34" s="209" t="s">
        <v>8</v>
      </c>
      <c r="K34" s="209" t="s">
        <v>9</v>
      </c>
      <c r="L34" s="209" t="s">
        <v>1963</v>
      </c>
      <c r="M34" s="209" t="s">
        <v>1964</v>
      </c>
    </row>
    <row r="35" spans="1:13" ht="49.5" customHeight="1" thickTop="1" thickBot="1" x14ac:dyDescent="0.3">
      <c r="A35" s="211" t="s">
        <v>444</v>
      </c>
      <c r="B35" s="210" t="s">
        <v>425</v>
      </c>
      <c r="C35" s="211" t="s">
        <v>18</v>
      </c>
      <c r="D35" s="211">
        <v>2</v>
      </c>
      <c r="E35" s="211">
        <v>30</v>
      </c>
      <c r="F35" s="211">
        <v>3</v>
      </c>
      <c r="G35" s="211">
        <v>848</v>
      </c>
      <c r="H35" s="212">
        <v>345371905</v>
      </c>
      <c r="I35" s="213">
        <v>0</v>
      </c>
      <c r="J35" s="216" t="s">
        <v>445</v>
      </c>
      <c r="K35" s="214" t="s">
        <v>20</v>
      </c>
      <c r="L35" s="219">
        <v>140</v>
      </c>
      <c r="M35" s="214">
        <v>0</v>
      </c>
    </row>
    <row r="36" spans="1:13" ht="51.75" customHeight="1" thickTop="1" thickBot="1" x14ac:dyDescent="0.3">
      <c r="A36" s="211" t="s">
        <v>444</v>
      </c>
      <c r="B36" s="210" t="s">
        <v>425</v>
      </c>
      <c r="C36" s="211" t="s">
        <v>53</v>
      </c>
      <c r="D36" s="211">
        <v>2</v>
      </c>
      <c r="E36" s="211">
        <v>30</v>
      </c>
      <c r="F36" s="211">
        <v>3</v>
      </c>
      <c r="G36" s="211">
        <v>520</v>
      </c>
      <c r="H36" s="212">
        <v>806959771</v>
      </c>
      <c r="I36" s="213">
        <v>0</v>
      </c>
      <c r="J36" s="216" t="s">
        <v>446</v>
      </c>
      <c r="K36" s="214" t="s">
        <v>55</v>
      </c>
      <c r="L36" s="219">
        <v>10</v>
      </c>
      <c r="M36" s="214">
        <v>0</v>
      </c>
    </row>
    <row r="37" spans="1:13" ht="16.5" thickTop="1" thickBot="1" x14ac:dyDescent="0.3">
      <c r="A37" s="43"/>
      <c r="B37" s="264"/>
      <c r="C37" s="45"/>
      <c r="D37" s="45"/>
      <c r="E37" s="45"/>
      <c r="F37" s="45"/>
      <c r="G37" s="45"/>
      <c r="H37" s="55"/>
      <c r="I37" s="55"/>
      <c r="J37" s="46"/>
      <c r="K37" s="46"/>
      <c r="L37" s="56"/>
      <c r="M37" s="56"/>
    </row>
    <row r="38" spans="1:13" ht="30" customHeight="1" thickTop="1" thickBot="1" x14ac:dyDescent="0.3">
      <c r="A38" s="639" t="s">
        <v>0</v>
      </c>
      <c r="B38" s="639" t="s">
        <v>1</v>
      </c>
      <c r="C38" s="639" t="s">
        <v>2569</v>
      </c>
      <c r="D38" s="636" t="s">
        <v>1961</v>
      </c>
      <c r="E38" s="637"/>
      <c r="F38" s="637"/>
      <c r="G38" s="638"/>
      <c r="H38" s="636" t="s">
        <v>3</v>
      </c>
      <c r="I38" s="637"/>
      <c r="J38" s="636" t="s">
        <v>1962</v>
      </c>
      <c r="K38" s="637"/>
      <c r="L38" s="637"/>
      <c r="M38" s="638"/>
    </row>
    <row r="39" spans="1:13" ht="34.5" customHeight="1" thickTop="1" thickBot="1" x14ac:dyDescent="0.3">
      <c r="A39" s="640"/>
      <c r="B39" s="640"/>
      <c r="C39" s="640"/>
      <c r="D39" s="209" t="s">
        <v>4</v>
      </c>
      <c r="E39" s="209" t="s">
        <v>5</v>
      </c>
      <c r="F39" s="209" t="s">
        <v>6</v>
      </c>
      <c r="G39" s="209" t="s">
        <v>7</v>
      </c>
      <c r="H39" s="209" t="s">
        <v>2</v>
      </c>
      <c r="I39" s="209" t="s">
        <v>3</v>
      </c>
      <c r="J39" s="209" t="s">
        <v>8</v>
      </c>
      <c r="K39" s="209" t="s">
        <v>9</v>
      </c>
      <c r="L39" s="209" t="s">
        <v>1963</v>
      </c>
      <c r="M39" s="209" t="s">
        <v>1964</v>
      </c>
    </row>
    <row r="40" spans="1:13" ht="46.5" thickTop="1" thickBot="1" x14ac:dyDescent="0.3">
      <c r="A40" s="211" t="s">
        <v>2518</v>
      </c>
      <c r="B40" s="210" t="s">
        <v>2517</v>
      </c>
      <c r="C40" s="211" t="s">
        <v>18</v>
      </c>
      <c r="D40" s="211">
        <v>2</v>
      </c>
      <c r="E40" s="211">
        <v>30</v>
      </c>
      <c r="F40" s="211">
        <v>3</v>
      </c>
      <c r="G40" s="211">
        <v>848</v>
      </c>
      <c r="H40" s="212">
        <v>383355405</v>
      </c>
      <c r="I40" s="213">
        <v>236250000</v>
      </c>
      <c r="J40" s="216" t="s">
        <v>447</v>
      </c>
      <c r="K40" s="214" t="s">
        <v>20</v>
      </c>
      <c r="L40" s="219">
        <v>450</v>
      </c>
      <c r="M40" s="214">
        <v>450</v>
      </c>
    </row>
    <row r="41" spans="1:13" ht="37.5" customHeight="1" thickTop="1" thickBot="1" x14ac:dyDescent="0.3">
      <c r="A41" s="627" t="s">
        <v>2518</v>
      </c>
      <c r="B41" s="210" t="s">
        <v>2517</v>
      </c>
      <c r="C41" s="211" t="s">
        <v>440</v>
      </c>
      <c r="D41" s="211">
        <v>2</v>
      </c>
      <c r="E41" s="211">
        <v>30</v>
      </c>
      <c r="F41" s="211">
        <v>3</v>
      </c>
      <c r="G41" s="211">
        <v>520</v>
      </c>
      <c r="H41" s="212">
        <v>89500000</v>
      </c>
      <c r="I41" s="213">
        <v>89500000</v>
      </c>
      <c r="J41" s="216" t="s">
        <v>448</v>
      </c>
      <c r="K41" s="214" t="s">
        <v>11</v>
      </c>
      <c r="L41" s="219">
        <v>13600</v>
      </c>
      <c r="M41" s="214">
        <v>13600</v>
      </c>
    </row>
    <row r="42" spans="1:13" ht="48" customHeight="1" thickTop="1" thickBot="1" x14ac:dyDescent="0.3">
      <c r="A42" s="627" t="s">
        <v>2518</v>
      </c>
      <c r="B42" s="210" t="s">
        <v>2517</v>
      </c>
      <c r="C42" s="211" t="s">
        <v>53</v>
      </c>
      <c r="D42" s="211">
        <v>2</v>
      </c>
      <c r="E42" s="211">
        <v>30</v>
      </c>
      <c r="F42" s="211">
        <v>3</v>
      </c>
      <c r="G42" s="211">
        <v>520</v>
      </c>
      <c r="H42" s="212">
        <v>180000000</v>
      </c>
      <c r="I42" s="213">
        <v>156022000</v>
      </c>
      <c r="J42" s="216" t="s">
        <v>450</v>
      </c>
      <c r="K42" s="214" t="s">
        <v>55</v>
      </c>
      <c r="L42" s="219">
        <v>4</v>
      </c>
      <c r="M42" s="214">
        <v>2</v>
      </c>
    </row>
    <row r="43" spans="1:13" ht="48" customHeight="1" thickTop="1" thickBot="1" x14ac:dyDescent="0.3">
      <c r="A43" s="627" t="s">
        <v>2518</v>
      </c>
      <c r="B43" s="210" t="s">
        <v>2517</v>
      </c>
      <c r="C43" s="211" t="s">
        <v>53</v>
      </c>
      <c r="D43" s="211">
        <v>2</v>
      </c>
      <c r="E43" s="211">
        <v>30</v>
      </c>
      <c r="F43" s="211">
        <v>3</v>
      </c>
      <c r="G43" s="211">
        <v>520</v>
      </c>
      <c r="H43" s="212">
        <v>47833600</v>
      </c>
      <c r="I43" s="213">
        <v>47833600</v>
      </c>
      <c r="J43" s="216" t="s">
        <v>451</v>
      </c>
      <c r="K43" s="214" t="s">
        <v>103</v>
      </c>
      <c r="L43" s="219">
        <v>1</v>
      </c>
      <c r="M43" s="214">
        <v>1</v>
      </c>
    </row>
    <row r="44" spans="1:13" ht="48" customHeight="1" thickTop="1" thickBot="1" x14ac:dyDescent="0.3">
      <c r="A44" s="627" t="s">
        <v>2518</v>
      </c>
      <c r="B44" s="210" t="s">
        <v>2517</v>
      </c>
      <c r="C44" s="211" t="s">
        <v>53</v>
      </c>
      <c r="D44" s="211">
        <v>2</v>
      </c>
      <c r="E44" s="211">
        <v>30</v>
      </c>
      <c r="F44" s="211">
        <v>3</v>
      </c>
      <c r="G44" s="211">
        <v>520</v>
      </c>
      <c r="H44" s="212">
        <f>894495945-H41-H42-H43-H45</f>
        <v>531189845</v>
      </c>
      <c r="I44" s="213">
        <f>858088326-I41-I42-I43-I45</f>
        <v>518760226</v>
      </c>
      <c r="J44" s="216" t="s">
        <v>452</v>
      </c>
      <c r="K44" s="214" t="s">
        <v>55</v>
      </c>
      <c r="L44" s="219">
        <v>12</v>
      </c>
      <c r="M44" s="214">
        <v>12</v>
      </c>
    </row>
    <row r="45" spans="1:13" ht="48" customHeight="1" thickTop="1" thickBot="1" x14ac:dyDescent="0.3">
      <c r="A45" s="627" t="s">
        <v>2518</v>
      </c>
      <c r="B45" s="210" t="s">
        <v>2517</v>
      </c>
      <c r="C45" s="211" t="s">
        <v>53</v>
      </c>
      <c r="D45" s="211">
        <v>2</v>
      </c>
      <c r="E45" s="211">
        <v>30</v>
      </c>
      <c r="F45" s="211">
        <v>3</v>
      </c>
      <c r="G45" s="211">
        <v>520</v>
      </c>
      <c r="H45" s="212">
        <v>45972500</v>
      </c>
      <c r="I45" s="213">
        <v>45972500</v>
      </c>
      <c r="J45" s="216" t="s">
        <v>453</v>
      </c>
      <c r="K45" s="214" t="s">
        <v>103</v>
      </c>
      <c r="L45" s="219">
        <v>1</v>
      </c>
      <c r="M45" s="214">
        <v>1</v>
      </c>
    </row>
    <row r="46" spans="1:13" ht="48" customHeight="1" thickTop="1" thickBot="1" x14ac:dyDescent="0.3">
      <c r="A46" s="627" t="s">
        <v>2518</v>
      </c>
      <c r="B46" s="210" t="s">
        <v>2517</v>
      </c>
      <c r="C46" s="211" t="s">
        <v>53</v>
      </c>
      <c r="D46" s="211">
        <v>2</v>
      </c>
      <c r="E46" s="211">
        <v>30</v>
      </c>
      <c r="F46" s="211">
        <v>3</v>
      </c>
      <c r="G46" s="211">
        <v>540</v>
      </c>
      <c r="H46" s="212">
        <v>0</v>
      </c>
      <c r="I46" s="213">
        <v>0</v>
      </c>
      <c r="J46" s="216" t="s">
        <v>454</v>
      </c>
      <c r="K46" s="214" t="s">
        <v>46</v>
      </c>
      <c r="L46" s="219">
        <v>250</v>
      </c>
      <c r="M46" s="214">
        <v>0</v>
      </c>
    </row>
    <row r="47" spans="1:13" ht="16.5" thickTop="1" thickBot="1" x14ac:dyDescent="0.3">
      <c r="A47" s="58"/>
      <c r="B47" s="57"/>
      <c r="C47" s="45"/>
      <c r="D47" s="46"/>
      <c r="E47" s="46"/>
      <c r="F47" s="46"/>
      <c r="G47" s="46"/>
      <c r="H47" s="48"/>
      <c r="I47" s="48"/>
      <c r="J47" s="46"/>
      <c r="K47" s="46"/>
      <c r="L47" s="48"/>
      <c r="M47" s="48"/>
    </row>
    <row r="48" spans="1:13" ht="30" customHeight="1" thickTop="1" thickBot="1" x14ac:dyDescent="0.3">
      <c r="A48" s="639" t="s">
        <v>0</v>
      </c>
      <c r="B48" s="639" t="s">
        <v>1</v>
      </c>
      <c r="C48" s="639" t="s">
        <v>2569</v>
      </c>
      <c r="D48" s="636" t="s">
        <v>1961</v>
      </c>
      <c r="E48" s="637"/>
      <c r="F48" s="637"/>
      <c r="G48" s="638"/>
      <c r="H48" s="636" t="s">
        <v>3</v>
      </c>
      <c r="I48" s="637"/>
      <c r="J48" s="636" t="s">
        <v>1962</v>
      </c>
      <c r="K48" s="637"/>
      <c r="L48" s="637"/>
      <c r="M48" s="638"/>
    </row>
    <row r="49" spans="1:13" ht="34.5" customHeight="1" thickTop="1" thickBot="1" x14ac:dyDescent="0.3">
      <c r="A49" s="640"/>
      <c r="B49" s="640"/>
      <c r="C49" s="640"/>
      <c r="D49" s="209" t="s">
        <v>4</v>
      </c>
      <c r="E49" s="209" t="s">
        <v>5</v>
      </c>
      <c r="F49" s="209" t="s">
        <v>6</v>
      </c>
      <c r="G49" s="209" t="s">
        <v>7</v>
      </c>
      <c r="H49" s="209" t="s">
        <v>2</v>
      </c>
      <c r="I49" s="209" t="s">
        <v>3</v>
      </c>
      <c r="J49" s="209" t="s">
        <v>8</v>
      </c>
      <c r="K49" s="209" t="s">
        <v>9</v>
      </c>
      <c r="L49" s="209" t="s">
        <v>1963</v>
      </c>
      <c r="M49" s="209" t="s">
        <v>1964</v>
      </c>
    </row>
    <row r="50" spans="1:13" s="60" customFormat="1" ht="46.5" thickTop="1" thickBot="1" x14ac:dyDescent="0.25">
      <c r="A50" s="211" t="s">
        <v>455</v>
      </c>
      <c r="B50" s="210" t="s">
        <v>2517</v>
      </c>
      <c r="C50" s="211" t="s">
        <v>18</v>
      </c>
      <c r="D50" s="211">
        <v>3</v>
      </c>
      <c r="E50" s="211">
        <v>30</v>
      </c>
      <c r="F50" s="211">
        <v>3</v>
      </c>
      <c r="G50" s="211">
        <v>848</v>
      </c>
      <c r="H50" s="212">
        <v>375992065</v>
      </c>
      <c r="I50" s="213">
        <v>247800000</v>
      </c>
      <c r="J50" s="216" t="s">
        <v>456</v>
      </c>
      <c r="K50" s="214" t="s">
        <v>20</v>
      </c>
      <c r="L50" s="219">
        <v>1207</v>
      </c>
      <c r="M50" s="214">
        <v>1207</v>
      </c>
    </row>
    <row r="51" spans="1:13" s="60" customFormat="1" ht="48.75" customHeight="1" thickTop="1" thickBot="1" x14ac:dyDescent="0.25">
      <c r="A51" s="211" t="s">
        <v>455</v>
      </c>
      <c r="B51" s="210" t="s">
        <v>2517</v>
      </c>
      <c r="C51" s="211" t="s">
        <v>53</v>
      </c>
      <c r="D51" s="211">
        <v>3</v>
      </c>
      <c r="E51" s="211">
        <v>30</v>
      </c>
      <c r="F51" s="211">
        <v>3</v>
      </c>
      <c r="G51" s="211">
        <v>520</v>
      </c>
      <c r="H51" s="212">
        <v>648722725</v>
      </c>
      <c r="I51" s="213">
        <v>203260000</v>
      </c>
      <c r="J51" s="216" t="s">
        <v>457</v>
      </c>
      <c r="K51" s="214" t="s">
        <v>55</v>
      </c>
      <c r="L51" s="219">
        <v>5</v>
      </c>
      <c r="M51" s="214">
        <v>2</v>
      </c>
    </row>
    <row r="52" spans="1:13" s="60" customFormat="1" ht="48.75" customHeight="1" thickTop="1" thickBot="1" x14ac:dyDescent="0.25">
      <c r="A52" s="211" t="s">
        <v>455</v>
      </c>
      <c r="B52" s="210" t="s">
        <v>2517</v>
      </c>
      <c r="C52" s="211" t="s">
        <v>53</v>
      </c>
      <c r="D52" s="211">
        <v>3</v>
      </c>
      <c r="E52" s="211">
        <v>30</v>
      </c>
      <c r="F52" s="211">
        <v>3</v>
      </c>
      <c r="G52" s="211">
        <v>520</v>
      </c>
      <c r="H52" s="212">
        <v>93000000</v>
      </c>
      <c r="I52" s="213">
        <v>74800000</v>
      </c>
      <c r="J52" s="216" t="s">
        <v>458</v>
      </c>
      <c r="K52" s="214" t="s">
        <v>15</v>
      </c>
      <c r="L52" s="219">
        <v>1</v>
      </c>
      <c r="M52" s="214">
        <v>1</v>
      </c>
    </row>
    <row r="53" spans="1:13" s="60" customFormat="1" ht="48.75" customHeight="1" thickTop="1" thickBot="1" x14ac:dyDescent="0.25">
      <c r="A53" s="211" t="s">
        <v>455</v>
      </c>
      <c r="B53" s="210" t="s">
        <v>2517</v>
      </c>
      <c r="C53" s="211" t="s">
        <v>53</v>
      </c>
      <c r="D53" s="211">
        <v>3</v>
      </c>
      <c r="E53" s="211">
        <v>30</v>
      </c>
      <c r="F53" s="211">
        <v>3</v>
      </c>
      <c r="G53" s="211">
        <v>520</v>
      </c>
      <c r="H53" s="212">
        <v>135592095</v>
      </c>
      <c r="I53" s="213">
        <v>126015000</v>
      </c>
      <c r="J53" s="216" t="s">
        <v>459</v>
      </c>
      <c r="K53" s="214" t="s">
        <v>11</v>
      </c>
      <c r="L53" s="219">
        <v>2250</v>
      </c>
      <c r="M53" s="214">
        <v>2100</v>
      </c>
    </row>
    <row r="54" spans="1:13" s="54" customFormat="1" ht="16.5" thickTop="1" thickBot="1" x14ac:dyDescent="0.3">
      <c r="A54" s="43"/>
      <c r="B54" s="61"/>
      <c r="C54" s="45"/>
      <c r="D54" s="45"/>
      <c r="E54" s="45"/>
      <c r="F54" s="45"/>
      <c r="G54" s="45"/>
      <c r="H54" s="46"/>
      <c r="I54" s="46"/>
      <c r="J54" s="45"/>
      <c r="K54" s="45"/>
      <c r="L54" s="45"/>
      <c r="M54" s="45"/>
    </row>
    <row r="55" spans="1:13" ht="30" customHeight="1" thickTop="1" thickBot="1" x14ac:dyDescent="0.3">
      <c r="A55" s="639" t="s">
        <v>0</v>
      </c>
      <c r="B55" s="639" t="s">
        <v>1</v>
      </c>
      <c r="C55" s="639" t="s">
        <v>2569</v>
      </c>
      <c r="D55" s="636" t="s">
        <v>1961</v>
      </c>
      <c r="E55" s="637"/>
      <c r="F55" s="637"/>
      <c r="G55" s="638"/>
      <c r="H55" s="636" t="s">
        <v>3</v>
      </c>
      <c r="I55" s="637"/>
      <c r="J55" s="636" t="s">
        <v>1962</v>
      </c>
      <c r="K55" s="637"/>
      <c r="L55" s="637"/>
      <c r="M55" s="638"/>
    </row>
    <row r="56" spans="1:13" ht="33.75" customHeight="1" thickTop="1" thickBot="1" x14ac:dyDescent="0.3">
      <c r="A56" s="640"/>
      <c r="B56" s="640"/>
      <c r="C56" s="640"/>
      <c r="D56" s="209" t="s">
        <v>4</v>
      </c>
      <c r="E56" s="209" t="s">
        <v>5</v>
      </c>
      <c r="F56" s="209" t="s">
        <v>6</v>
      </c>
      <c r="G56" s="209" t="s">
        <v>7</v>
      </c>
      <c r="H56" s="209" t="s">
        <v>2</v>
      </c>
      <c r="I56" s="209" t="s">
        <v>3</v>
      </c>
      <c r="J56" s="209" t="s">
        <v>8</v>
      </c>
      <c r="K56" s="209" t="s">
        <v>9</v>
      </c>
      <c r="L56" s="209" t="s">
        <v>1963</v>
      </c>
      <c r="M56" s="209" t="s">
        <v>1964</v>
      </c>
    </row>
    <row r="57" spans="1:13" ht="48.75" customHeight="1" thickTop="1" thickBot="1" x14ac:dyDescent="0.3">
      <c r="A57" s="211" t="s">
        <v>460</v>
      </c>
      <c r="B57" s="210" t="s">
        <v>2517</v>
      </c>
      <c r="C57" s="211" t="s">
        <v>18</v>
      </c>
      <c r="D57" s="211">
        <v>3</v>
      </c>
      <c r="E57" s="211">
        <v>30</v>
      </c>
      <c r="F57" s="211">
        <v>3</v>
      </c>
      <c r="G57" s="211">
        <v>848</v>
      </c>
      <c r="H57" s="212">
        <v>446817255</v>
      </c>
      <c r="I57" s="213">
        <v>162960000</v>
      </c>
      <c r="J57" s="216" t="s">
        <v>461</v>
      </c>
      <c r="K57" s="214" t="s">
        <v>20</v>
      </c>
      <c r="L57" s="219">
        <v>306</v>
      </c>
      <c r="M57" s="214">
        <v>120</v>
      </c>
    </row>
    <row r="58" spans="1:13" ht="46.5" thickTop="1" thickBot="1" x14ac:dyDescent="0.3">
      <c r="A58" s="211" t="s">
        <v>460</v>
      </c>
      <c r="B58" s="210" t="s">
        <v>2517</v>
      </c>
      <c r="C58" s="211" t="s">
        <v>517</v>
      </c>
      <c r="D58" s="211">
        <v>3</v>
      </c>
      <c r="E58" s="211">
        <v>30</v>
      </c>
      <c r="F58" s="211">
        <v>3</v>
      </c>
      <c r="G58" s="211">
        <v>520</v>
      </c>
      <c r="H58" s="212">
        <v>252122800</v>
      </c>
      <c r="I58" s="213">
        <v>169036600</v>
      </c>
      <c r="J58" s="216" t="s">
        <v>462</v>
      </c>
      <c r="K58" s="214" t="s">
        <v>13</v>
      </c>
      <c r="L58" s="219">
        <v>11</v>
      </c>
      <c r="M58" s="214">
        <v>8</v>
      </c>
    </row>
    <row r="59" spans="1:13" ht="53.25" customHeight="1" thickTop="1" thickBot="1" x14ac:dyDescent="0.3">
      <c r="A59" s="211" t="s">
        <v>460</v>
      </c>
      <c r="B59" s="210" t="s">
        <v>2517</v>
      </c>
      <c r="C59" s="211" t="s">
        <v>517</v>
      </c>
      <c r="D59" s="211">
        <v>3</v>
      </c>
      <c r="E59" s="211">
        <v>30</v>
      </c>
      <c r="F59" s="211">
        <v>3</v>
      </c>
      <c r="G59" s="211">
        <v>520</v>
      </c>
      <c r="H59" s="212">
        <v>21232750</v>
      </c>
      <c r="I59" s="213">
        <v>21232750</v>
      </c>
      <c r="J59" s="216" t="s">
        <v>463</v>
      </c>
      <c r="K59" s="214" t="s">
        <v>12</v>
      </c>
      <c r="L59" s="219">
        <v>20</v>
      </c>
      <c r="M59" s="214">
        <v>20</v>
      </c>
    </row>
    <row r="60" spans="1:13" ht="42.75" customHeight="1" thickTop="1" thickBot="1" x14ac:dyDescent="0.3">
      <c r="A60" s="211" t="s">
        <v>460</v>
      </c>
      <c r="B60" s="210" t="s">
        <v>2517</v>
      </c>
      <c r="C60" s="211" t="s">
        <v>517</v>
      </c>
      <c r="D60" s="211">
        <v>3</v>
      </c>
      <c r="E60" s="211">
        <v>30</v>
      </c>
      <c r="F60" s="211">
        <v>3</v>
      </c>
      <c r="G60" s="211">
        <v>520</v>
      </c>
      <c r="H60" s="212">
        <v>19349500</v>
      </c>
      <c r="I60" s="213">
        <v>19349500</v>
      </c>
      <c r="J60" s="216" t="s">
        <v>464</v>
      </c>
      <c r="K60" s="214" t="s">
        <v>158</v>
      </c>
      <c r="L60" s="219">
        <v>112.5</v>
      </c>
      <c r="M60" s="214">
        <v>112.5</v>
      </c>
    </row>
    <row r="61" spans="1:13" ht="48" customHeight="1" thickTop="1" thickBot="1" x14ac:dyDescent="0.3">
      <c r="A61" s="211" t="s">
        <v>460</v>
      </c>
      <c r="B61" s="210" t="s">
        <v>2517</v>
      </c>
      <c r="C61" s="211" t="s">
        <v>53</v>
      </c>
      <c r="D61" s="211">
        <v>3</v>
      </c>
      <c r="E61" s="211">
        <v>30</v>
      </c>
      <c r="F61" s="211">
        <v>3</v>
      </c>
      <c r="G61" s="211">
        <v>520</v>
      </c>
      <c r="H61" s="212">
        <v>76000000</v>
      </c>
      <c r="I61" s="213">
        <v>55998114</v>
      </c>
      <c r="J61" s="216" t="s">
        <v>465</v>
      </c>
      <c r="K61" s="214" t="s">
        <v>55</v>
      </c>
      <c r="L61" s="219">
        <v>1</v>
      </c>
      <c r="M61" s="214">
        <v>1</v>
      </c>
    </row>
    <row r="62" spans="1:13" ht="41.25" customHeight="1" thickTop="1" thickBot="1" x14ac:dyDescent="0.3">
      <c r="A62" s="211" t="s">
        <v>460</v>
      </c>
      <c r="B62" s="210" t="s">
        <v>2517</v>
      </c>
      <c r="C62" s="211" t="s">
        <v>517</v>
      </c>
      <c r="D62" s="211">
        <v>3</v>
      </c>
      <c r="E62" s="211">
        <v>30</v>
      </c>
      <c r="F62" s="211">
        <v>3</v>
      </c>
      <c r="G62" s="211">
        <v>520</v>
      </c>
      <c r="H62" s="212">
        <v>47041600</v>
      </c>
      <c r="I62" s="213">
        <v>47041600</v>
      </c>
      <c r="J62" s="216" t="s">
        <v>466</v>
      </c>
      <c r="K62" s="214" t="s">
        <v>118</v>
      </c>
      <c r="L62" s="219">
        <v>1</v>
      </c>
      <c r="M62" s="214">
        <v>1</v>
      </c>
    </row>
    <row r="63" spans="1:13" ht="47.25" customHeight="1" thickTop="1" thickBot="1" x14ac:dyDescent="0.3">
      <c r="A63" s="211" t="s">
        <v>460</v>
      </c>
      <c r="B63" s="210" t="s">
        <v>2517</v>
      </c>
      <c r="C63" s="211" t="s">
        <v>53</v>
      </c>
      <c r="D63" s="211">
        <v>3</v>
      </c>
      <c r="E63" s="211">
        <v>30</v>
      </c>
      <c r="F63" s="211">
        <v>3</v>
      </c>
      <c r="G63" s="211">
        <v>520</v>
      </c>
      <c r="H63" s="212">
        <v>457009657</v>
      </c>
      <c r="I63" s="213">
        <v>92502415</v>
      </c>
      <c r="J63" s="216" t="s">
        <v>467</v>
      </c>
      <c r="K63" s="214" t="s">
        <v>55</v>
      </c>
      <c r="L63" s="219">
        <v>10</v>
      </c>
      <c r="M63" s="214">
        <v>4</v>
      </c>
    </row>
    <row r="64" spans="1:13" ht="47.25" customHeight="1" thickTop="1" thickBot="1" x14ac:dyDescent="0.3">
      <c r="A64" s="211" t="s">
        <v>460</v>
      </c>
      <c r="B64" s="210" t="s">
        <v>2517</v>
      </c>
      <c r="C64" s="211" t="s">
        <v>53</v>
      </c>
      <c r="D64" s="211">
        <v>3</v>
      </c>
      <c r="E64" s="211">
        <v>30</v>
      </c>
      <c r="F64" s="211">
        <v>3</v>
      </c>
      <c r="G64" s="211">
        <v>520</v>
      </c>
      <c r="H64" s="212">
        <v>141000000</v>
      </c>
      <c r="I64" s="213">
        <v>41963589</v>
      </c>
      <c r="J64" s="216" t="s">
        <v>468</v>
      </c>
      <c r="K64" s="214" t="s">
        <v>25</v>
      </c>
      <c r="L64" s="219">
        <v>3</v>
      </c>
      <c r="M64" s="214">
        <v>1</v>
      </c>
    </row>
    <row r="65" spans="1:13" ht="47.25" customHeight="1" thickTop="1" thickBot="1" x14ac:dyDescent="0.3">
      <c r="A65" s="211" t="s">
        <v>460</v>
      </c>
      <c r="B65" s="210" t="s">
        <v>2517</v>
      </c>
      <c r="C65" s="211" t="s">
        <v>53</v>
      </c>
      <c r="D65" s="211">
        <v>3</v>
      </c>
      <c r="E65" s="211">
        <v>30</v>
      </c>
      <c r="F65" s="211">
        <v>3</v>
      </c>
      <c r="G65" s="211">
        <v>520</v>
      </c>
      <c r="H65" s="212">
        <v>25000000</v>
      </c>
      <c r="I65" s="213">
        <v>0</v>
      </c>
      <c r="J65" s="216" t="s">
        <v>469</v>
      </c>
      <c r="K65" s="214" t="s">
        <v>25</v>
      </c>
      <c r="L65" s="219">
        <v>1</v>
      </c>
      <c r="M65" s="214">
        <v>0</v>
      </c>
    </row>
    <row r="66" spans="1:13" ht="47.25" customHeight="1" thickTop="1" thickBot="1" x14ac:dyDescent="0.3">
      <c r="A66" s="211" t="s">
        <v>460</v>
      </c>
      <c r="B66" s="210" t="s">
        <v>2517</v>
      </c>
      <c r="C66" s="211" t="s">
        <v>53</v>
      </c>
      <c r="D66" s="211">
        <v>3</v>
      </c>
      <c r="E66" s="211">
        <v>30</v>
      </c>
      <c r="F66" s="211">
        <v>3</v>
      </c>
      <c r="G66" s="211">
        <v>520</v>
      </c>
      <c r="H66" s="212">
        <v>57095075</v>
      </c>
      <c r="I66" s="213">
        <v>54240321</v>
      </c>
      <c r="J66" s="216" t="s">
        <v>470</v>
      </c>
      <c r="K66" s="214" t="s">
        <v>158</v>
      </c>
      <c r="L66" s="219">
        <v>193</v>
      </c>
      <c r="M66" s="214">
        <v>193</v>
      </c>
    </row>
    <row r="67" spans="1:13" s="54" customFormat="1" ht="16.5" thickTop="1" thickBot="1" x14ac:dyDescent="0.3">
      <c r="A67" s="65"/>
      <c r="B67" s="64"/>
      <c r="C67" s="66"/>
      <c r="D67" s="67"/>
      <c r="E67" s="67"/>
      <c r="F67" s="67"/>
      <c r="G67" s="67"/>
      <c r="H67" s="68"/>
      <c r="I67" s="68"/>
      <c r="J67" s="66"/>
      <c r="K67" s="66"/>
      <c r="L67" s="68"/>
      <c r="M67" s="68"/>
    </row>
    <row r="68" spans="1:13" ht="30" customHeight="1" thickTop="1" thickBot="1" x14ac:dyDescent="0.3">
      <c r="A68" s="639" t="s">
        <v>0</v>
      </c>
      <c r="B68" s="639" t="s">
        <v>1</v>
      </c>
      <c r="C68" s="639" t="s">
        <v>2569</v>
      </c>
      <c r="D68" s="636" t="s">
        <v>1961</v>
      </c>
      <c r="E68" s="637"/>
      <c r="F68" s="637"/>
      <c r="G68" s="638"/>
      <c r="H68" s="636" t="s">
        <v>3</v>
      </c>
      <c r="I68" s="637"/>
      <c r="J68" s="636" t="s">
        <v>1962</v>
      </c>
      <c r="K68" s="637"/>
      <c r="L68" s="637"/>
      <c r="M68" s="638"/>
    </row>
    <row r="69" spans="1:13" ht="34.5" customHeight="1" thickTop="1" thickBot="1" x14ac:dyDescent="0.3">
      <c r="A69" s="640"/>
      <c r="B69" s="640"/>
      <c r="C69" s="640"/>
      <c r="D69" s="209" t="s">
        <v>4</v>
      </c>
      <c r="E69" s="209" t="s">
        <v>5</v>
      </c>
      <c r="F69" s="209" t="s">
        <v>6</v>
      </c>
      <c r="G69" s="209" t="s">
        <v>7</v>
      </c>
      <c r="H69" s="209" t="s">
        <v>2</v>
      </c>
      <c r="I69" s="209" t="s">
        <v>3</v>
      </c>
      <c r="J69" s="209" t="s">
        <v>8</v>
      </c>
      <c r="K69" s="209" t="s">
        <v>9</v>
      </c>
      <c r="L69" s="209" t="s">
        <v>1963</v>
      </c>
      <c r="M69" s="209" t="s">
        <v>1964</v>
      </c>
    </row>
    <row r="70" spans="1:13" s="3" customFormat="1" ht="60" customHeight="1" thickTop="1" thickBot="1" x14ac:dyDescent="0.25">
      <c r="A70" s="211" t="s">
        <v>2452</v>
      </c>
      <c r="B70" s="210" t="s">
        <v>2517</v>
      </c>
      <c r="C70" s="211" t="s">
        <v>18</v>
      </c>
      <c r="D70" s="211">
        <v>2</v>
      </c>
      <c r="E70" s="211">
        <v>30</v>
      </c>
      <c r="F70" s="211">
        <v>3</v>
      </c>
      <c r="G70" s="211">
        <v>848</v>
      </c>
      <c r="H70" s="212">
        <v>215420060</v>
      </c>
      <c r="I70" s="213">
        <v>181209600</v>
      </c>
      <c r="J70" s="216" t="s">
        <v>471</v>
      </c>
      <c r="K70" s="214" t="s">
        <v>20</v>
      </c>
      <c r="L70" s="219">
        <v>208</v>
      </c>
      <c r="M70" s="214">
        <v>208</v>
      </c>
    </row>
    <row r="71" spans="1:13" s="3" customFormat="1" ht="48.75" customHeight="1" thickTop="1" thickBot="1" x14ac:dyDescent="0.25">
      <c r="A71" s="598" t="s">
        <v>2452</v>
      </c>
      <c r="B71" s="210" t="s">
        <v>2517</v>
      </c>
      <c r="C71" s="211" t="s">
        <v>53</v>
      </c>
      <c r="D71" s="211">
        <v>2</v>
      </c>
      <c r="E71" s="211">
        <v>30</v>
      </c>
      <c r="F71" s="211">
        <v>3</v>
      </c>
      <c r="G71" s="211">
        <v>520</v>
      </c>
      <c r="H71" s="212">
        <v>330000000</v>
      </c>
      <c r="I71" s="213">
        <v>128885000</v>
      </c>
      <c r="J71" s="216" t="s">
        <v>472</v>
      </c>
      <c r="K71" s="214" t="s">
        <v>55</v>
      </c>
      <c r="L71" s="219">
        <v>5</v>
      </c>
      <c r="M71" s="214">
        <v>2</v>
      </c>
    </row>
    <row r="72" spans="1:13" s="3" customFormat="1" ht="48.75" customHeight="1" thickTop="1" thickBot="1" x14ac:dyDescent="0.25">
      <c r="A72" s="598" t="s">
        <v>2452</v>
      </c>
      <c r="B72" s="210" t="s">
        <v>2517</v>
      </c>
      <c r="C72" s="211" t="s">
        <v>53</v>
      </c>
      <c r="D72" s="211">
        <v>2</v>
      </c>
      <c r="E72" s="211">
        <v>30</v>
      </c>
      <c r="F72" s="211">
        <v>3</v>
      </c>
      <c r="G72" s="211">
        <v>520</v>
      </c>
      <c r="H72" s="212">
        <v>107826806</v>
      </c>
      <c r="I72" s="213">
        <v>0</v>
      </c>
      <c r="J72" s="216" t="s">
        <v>473</v>
      </c>
      <c r="K72" s="214" t="s">
        <v>25</v>
      </c>
      <c r="L72" s="219">
        <v>2</v>
      </c>
      <c r="M72" s="214">
        <v>0</v>
      </c>
    </row>
    <row r="73" spans="1:13" s="3" customFormat="1" ht="48" customHeight="1" thickTop="1" thickBot="1" x14ac:dyDescent="0.25">
      <c r="A73" s="598" t="s">
        <v>2452</v>
      </c>
      <c r="B73" s="210" t="s">
        <v>2517</v>
      </c>
      <c r="C73" s="211" t="s">
        <v>53</v>
      </c>
      <c r="D73" s="211">
        <v>2</v>
      </c>
      <c r="E73" s="211">
        <v>30</v>
      </c>
      <c r="F73" s="211">
        <v>3</v>
      </c>
      <c r="G73" s="211">
        <v>540</v>
      </c>
      <c r="H73" s="212">
        <v>29000000</v>
      </c>
      <c r="I73" s="213">
        <v>19600000</v>
      </c>
      <c r="J73" s="216" t="s">
        <v>474</v>
      </c>
      <c r="K73" s="214" t="s">
        <v>17</v>
      </c>
      <c r="L73" s="219">
        <v>224</v>
      </c>
      <c r="M73" s="214">
        <v>224</v>
      </c>
    </row>
    <row r="74" spans="1:13" s="3" customFormat="1" ht="48" customHeight="1" thickTop="1" thickBot="1" x14ac:dyDescent="0.25">
      <c r="A74" s="598" t="s">
        <v>2452</v>
      </c>
      <c r="B74" s="210" t="s">
        <v>2517</v>
      </c>
      <c r="C74" s="211" t="s">
        <v>53</v>
      </c>
      <c r="D74" s="211">
        <v>2</v>
      </c>
      <c r="E74" s="211">
        <v>30</v>
      </c>
      <c r="F74" s="211">
        <v>3</v>
      </c>
      <c r="G74" s="211">
        <v>540</v>
      </c>
      <c r="H74" s="212">
        <v>25820000</v>
      </c>
      <c r="I74" s="213">
        <v>17696000</v>
      </c>
      <c r="J74" s="216" t="s">
        <v>475</v>
      </c>
      <c r="K74" s="214" t="s">
        <v>17</v>
      </c>
      <c r="L74" s="219">
        <v>224</v>
      </c>
      <c r="M74" s="214">
        <v>224</v>
      </c>
    </row>
    <row r="75" spans="1:13" s="3" customFormat="1" ht="46.5" thickTop="1" thickBot="1" x14ac:dyDescent="0.25">
      <c r="A75" s="598" t="s">
        <v>2452</v>
      </c>
      <c r="B75" s="210" t="s">
        <v>2517</v>
      </c>
      <c r="C75" s="211" t="s">
        <v>53</v>
      </c>
      <c r="D75" s="211">
        <v>2</v>
      </c>
      <c r="E75" s="211">
        <v>30</v>
      </c>
      <c r="F75" s="211">
        <v>3</v>
      </c>
      <c r="G75" s="211">
        <v>540</v>
      </c>
      <c r="H75" s="212">
        <v>10000000</v>
      </c>
      <c r="I75" s="213">
        <v>7700000</v>
      </c>
      <c r="J75" s="216" t="s">
        <v>476</v>
      </c>
      <c r="K75" s="214" t="s">
        <v>17</v>
      </c>
      <c r="L75" s="219">
        <v>10</v>
      </c>
      <c r="M75" s="214">
        <v>10</v>
      </c>
    </row>
    <row r="76" spans="1:13" s="54" customFormat="1" ht="16.5" thickTop="1" thickBot="1" x14ac:dyDescent="0.3">
      <c r="A76" s="43"/>
      <c r="B76" s="61"/>
      <c r="C76" s="22"/>
      <c r="D76" s="16"/>
      <c r="E76" s="16"/>
      <c r="F76" s="16"/>
      <c r="G76" s="16"/>
      <c r="H76" s="16"/>
      <c r="I76" s="16"/>
      <c r="J76" s="16"/>
      <c r="K76" s="16"/>
      <c r="L76" s="16"/>
      <c r="M76" s="16"/>
    </row>
    <row r="77" spans="1:13" ht="30" customHeight="1" thickTop="1" thickBot="1" x14ac:dyDescent="0.3">
      <c r="A77" s="639" t="s">
        <v>0</v>
      </c>
      <c r="B77" s="639" t="s">
        <v>1</v>
      </c>
      <c r="C77" s="639" t="s">
        <v>2569</v>
      </c>
      <c r="D77" s="636" t="s">
        <v>1961</v>
      </c>
      <c r="E77" s="637"/>
      <c r="F77" s="637"/>
      <c r="G77" s="638"/>
      <c r="H77" s="636" t="s">
        <v>3</v>
      </c>
      <c r="I77" s="637"/>
      <c r="J77" s="636" t="s">
        <v>1962</v>
      </c>
      <c r="K77" s="637"/>
      <c r="L77" s="637"/>
      <c r="M77" s="638"/>
    </row>
    <row r="78" spans="1:13" ht="34.5" customHeight="1" thickTop="1" thickBot="1" x14ac:dyDescent="0.3">
      <c r="A78" s="640"/>
      <c r="B78" s="640"/>
      <c r="C78" s="640"/>
      <c r="D78" s="209" t="s">
        <v>4</v>
      </c>
      <c r="E78" s="209" t="s">
        <v>5</v>
      </c>
      <c r="F78" s="209" t="s">
        <v>6</v>
      </c>
      <c r="G78" s="209" t="s">
        <v>7</v>
      </c>
      <c r="H78" s="209" t="s">
        <v>2</v>
      </c>
      <c r="I78" s="209" t="s">
        <v>3</v>
      </c>
      <c r="J78" s="209" t="s">
        <v>8</v>
      </c>
      <c r="K78" s="209" t="s">
        <v>9</v>
      </c>
      <c r="L78" s="209" t="s">
        <v>1963</v>
      </c>
      <c r="M78" s="209" t="s">
        <v>1964</v>
      </c>
    </row>
    <row r="79" spans="1:13" s="3" customFormat="1" ht="50.25" customHeight="1" thickTop="1" thickBot="1" x14ac:dyDescent="0.25">
      <c r="A79" s="211" t="s">
        <v>2453</v>
      </c>
      <c r="B79" s="210" t="s">
        <v>2517</v>
      </c>
      <c r="C79" s="211" t="s">
        <v>18</v>
      </c>
      <c r="D79" s="211">
        <v>2</v>
      </c>
      <c r="E79" s="211">
        <v>30</v>
      </c>
      <c r="F79" s="211">
        <v>3</v>
      </c>
      <c r="G79" s="211">
        <v>848</v>
      </c>
      <c r="H79" s="212">
        <v>358311376</v>
      </c>
      <c r="I79" s="213">
        <v>204086000</v>
      </c>
      <c r="J79" s="216" t="s">
        <v>477</v>
      </c>
      <c r="K79" s="214" t="s">
        <v>20</v>
      </c>
      <c r="L79" s="219">
        <v>2700</v>
      </c>
      <c r="M79" s="214">
        <v>2700</v>
      </c>
    </row>
    <row r="80" spans="1:13" s="3" customFormat="1" ht="46.5" thickTop="1" thickBot="1" x14ac:dyDescent="0.25">
      <c r="A80" s="598" t="s">
        <v>2453</v>
      </c>
      <c r="B80" s="210" t="s">
        <v>2517</v>
      </c>
      <c r="C80" s="211" t="s">
        <v>300</v>
      </c>
      <c r="D80" s="211">
        <v>2</v>
      </c>
      <c r="E80" s="211">
        <v>30</v>
      </c>
      <c r="F80" s="211">
        <v>3</v>
      </c>
      <c r="G80" s="211">
        <v>520</v>
      </c>
      <c r="H80" s="212">
        <v>136000000</v>
      </c>
      <c r="I80" s="213">
        <v>136000000</v>
      </c>
      <c r="J80" s="216" t="s">
        <v>478</v>
      </c>
      <c r="K80" s="214" t="s">
        <v>13</v>
      </c>
      <c r="L80" s="219">
        <v>5</v>
      </c>
      <c r="M80" s="214">
        <v>5</v>
      </c>
    </row>
    <row r="81" spans="1:13" s="3" customFormat="1" ht="46.5" thickTop="1" thickBot="1" x14ac:dyDescent="0.25">
      <c r="A81" s="598" t="s">
        <v>2453</v>
      </c>
      <c r="B81" s="210" t="s">
        <v>2517</v>
      </c>
      <c r="C81" s="211" t="s">
        <v>300</v>
      </c>
      <c r="D81" s="211">
        <v>2</v>
      </c>
      <c r="E81" s="211">
        <v>30</v>
      </c>
      <c r="F81" s="211">
        <v>3</v>
      </c>
      <c r="G81" s="211">
        <v>520</v>
      </c>
      <c r="H81" s="212">
        <v>530887069</v>
      </c>
      <c r="I81" s="213">
        <v>430400000</v>
      </c>
      <c r="J81" s="216" t="s">
        <v>479</v>
      </c>
      <c r="K81" s="214" t="s">
        <v>55</v>
      </c>
      <c r="L81" s="219">
        <v>5</v>
      </c>
      <c r="M81" s="214">
        <v>5</v>
      </c>
    </row>
    <row r="82" spans="1:13" s="3" customFormat="1" ht="38.25" customHeight="1" thickTop="1" thickBot="1" x14ac:dyDescent="0.25">
      <c r="A82" s="598" t="s">
        <v>2453</v>
      </c>
      <c r="B82" s="210" t="s">
        <v>2517</v>
      </c>
      <c r="C82" s="211" t="s">
        <v>440</v>
      </c>
      <c r="D82" s="211">
        <v>2</v>
      </c>
      <c r="E82" s="211">
        <v>30</v>
      </c>
      <c r="F82" s="211">
        <v>3</v>
      </c>
      <c r="G82" s="211">
        <v>520</v>
      </c>
      <c r="H82" s="212">
        <v>290000000</v>
      </c>
      <c r="I82" s="213">
        <v>240000000</v>
      </c>
      <c r="J82" s="216" t="s">
        <v>480</v>
      </c>
      <c r="K82" s="214" t="s">
        <v>13</v>
      </c>
      <c r="L82" s="219">
        <v>1</v>
      </c>
      <c r="M82" s="214">
        <v>0.93</v>
      </c>
    </row>
    <row r="83" spans="1:13" s="54" customFormat="1" ht="16.5" thickTop="1" thickBot="1" x14ac:dyDescent="0.3">
      <c r="A83" s="43"/>
      <c r="B83" s="57"/>
      <c r="C83" s="22"/>
      <c r="D83" s="16"/>
      <c r="E83" s="16"/>
      <c r="F83" s="16"/>
      <c r="G83" s="16"/>
      <c r="H83" s="20"/>
      <c r="I83" s="20"/>
      <c r="J83" s="16"/>
      <c r="K83" s="16"/>
      <c r="L83" s="20"/>
      <c r="M83" s="20"/>
    </row>
    <row r="84" spans="1:13" ht="30" customHeight="1" thickTop="1" thickBot="1" x14ac:dyDescent="0.3">
      <c r="A84" s="639" t="s">
        <v>0</v>
      </c>
      <c r="B84" s="639" t="s">
        <v>1</v>
      </c>
      <c r="C84" s="639" t="s">
        <v>2569</v>
      </c>
      <c r="D84" s="636" t="s">
        <v>1961</v>
      </c>
      <c r="E84" s="637"/>
      <c r="F84" s="637"/>
      <c r="G84" s="638"/>
      <c r="H84" s="636" t="s">
        <v>3</v>
      </c>
      <c r="I84" s="637"/>
      <c r="J84" s="636" t="s">
        <v>1962</v>
      </c>
      <c r="K84" s="637"/>
      <c r="L84" s="637"/>
      <c r="M84" s="638"/>
    </row>
    <row r="85" spans="1:13" ht="34.5" customHeight="1" thickTop="1" thickBot="1" x14ac:dyDescent="0.3">
      <c r="A85" s="640"/>
      <c r="B85" s="640"/>
      <c r="C85" s="640"/>
      <c r="D85" s="209" t="s">
        <v>4</v>
      </c>
      <c r="E85" s="209" t="s">
        <v>5</v>
      </c>
      <c r="F85" s="209" t="s">
        <v>6</v>
      </c>
      <c r="G85" s="209" t="s">
        <v>7</v>
      </c>
      <c r="H85" s="209" t="s">
        <v>2</v>
      </c>
      <c r="I85" s="209" t="s">
        <v>3</v>
      </c>
      <c r="J85" s="209" t="s">
        <v>8</v>
      </c>
      <c r="K85" s="209" t="s">
        <v>9</v>
      </c>
      <c r="L85" s="209" t="s">
        <v>1963</v>
      </c>
      <c r="M85" s="209" t="s">
        <v>1964</v>
      </c>
    </row>
    <row r="86" spans="1:13" s="3" customFormat="1" ht="36.75" customHeight="1" thickTop="1" thickBot="1" x14ac:dyDescent="0.25">
      <c r="A86" s="211" t="s">
        <v>2519</v>
      </c>
      <c r="B86" s="210" t="s">
        <v>2517</v>
      </c>
      <c r="C86" s="211" t="s">
        <v>18</v>
      </c>
      <c r="D86" s="211">
        <v>2</v>
      </c>
      <c r="E86" s="211">
        <v>30</v>
      </c>
      <c r="F86" s="211">
        <v>3</v>
      </c>
      <c r="G86" s="211">
        <v>848</v>
      </c>
      <c r="H86" s="212">
        <v>202210171</v>
      </c>
      <c r="I86" s="213">
        <v>152507025</v>
      </c>
      <c r="J86" s="216" t="s">
        <v>481</v>
      </c>
      <c r="K86" s="214" t="s">
        <v>20</v>
      </c>
      <c r="L86" s="219">
        <v>200</v>
      </c>
      <c r="M86" s="214">
        <v>150</v>
      </c>
    </row>
    <row r="87" spans="1:13" s="3" customFormat="1" ht="46.5" thickTop="1" thickBot="1" x14ac:dyDescent="0.25">
      <c r="A87" s="627" t="s">
        <v>2519</v>
      </c>
      <c r="B87" s="210" t="s">
        <v>2517</v>
      </c>
      <c r="C87" s="211" t="s">
        <v>53</v>
      </c>
      <c r="D87" s="211">
        <v>3</v>
      </c>
      <c r="E87" s="211">
        <v>30</v>
      </c>
      <c r="F87" s="211">
        <v>3</v>
      </c>
      <c r="G87" s="211">
        <v>520</v>
      </c>
      <c r="H87" s="212">
        <v>424033903</v>
      </c>
      <c r="I87" s="213">
        <v>397500000</v>
      </c>
      <c r="J87" s="216" t="s">
        <v>482</v>
      </c>
      <c r="K87" s="214" t="s">
        <v>55</v>
      </c>
      <c r="L87" s="219">
        <v>6</v>
      </c>
      <c r="M87" s="214">
        <v>6</v>
      </c>
    </row>
    <row r="88" spans="1:13" s="3" customFormat="1" ht="41.25" customHeight="1" thickTop="1" thickBot="1" x14ac:dyDescent="0.25">
      <c r="A88" s="627" t="s">
        <v>2519</v>
      </c>
      <c r="B88" s="210" t="s">
        <v>2517</v>
      </c>
      <c r="C88" s="211" t="s">
        <v>483</v>
      </c>
      <c r="D88" s="211">
        <v>3</v>
      </c>
      <c r="E88" s="211">
        <v>30</v>
      </c>
      <c r="F88" s="211">
        <v>3</v>
      </c>
      <c r="G88" s="211">
        <v>540</v>
      </c>
      <c r="H88" s="212">
        <v>47789829</v>
      </c>
      <c r="I88" s="213">
        <v>0</v>
      </c>
      <c r="J88" s="216" t="s">
        <v>484</v>
      </c>
      <c r="K88" s="214" t="s">
        <v>261</v>
      </c>
      <c r="L88" s="219">
        <v>500</v>
      </c>
      <c r="M88" s="214">
        <v>0</v>
      </c>
    </row>
    <row r="89" spans="1:13" s="54" customFormat="1" ht="16.5" thickTop="1" thickBot="1" x14ac:dyDescent="0.3">
      <c r="A89" s="53"/>
      <c r="B89" s="57"/>
      <c r="C89" s="45"/>
      <c r="D89" s="46"/>
      <c r="E89" s="46"/>
      <c r="F89" s="46"/>
      <c r="G89" s="46"/>
      <c r="H89" s="46"/>
      <c r="I89" s="46"/>
      <c r="J89" s="46"/>
      <c r="K89" s="46"/>
      <c r="L89" s="46"/>
      <c r="M89" s="46"/>
    </row>
    <row r="90" spans="1:13" s="3" customFormat="1" ht="30" customHeight="1" thickTop="1" thickBot="1" x14ac:dyDescent="0.25">
      <c r="A90" s="639" t="s">
        <v>0</v>
      </c>
      <c r="B90" s="639" t="s">
        <v>1</v>
      </c>
      <c r="C90" s="639" t="s">
        <v>2569</v>
      </c>
      <c r="D90" s="636" t="s">
        <v>1961</v>
      </c>
      <c r="E90" s="637"/>
      <c r="F90" s="637"/>
      <c r="G90" s="638"/>
      <c r="H90" s="636" t="s">
        <v>3</v>
      </c>
      <c r="I90" s="637"/>
      <c r="J90" s="636" t="s">
        <v>1962</v>
      </c>
      <c r="K90" s="637"/>
      <c r="L90" s="637"/>
      <c r="M90" s="638"/>
    </row>
    <row r="91" spans="1:13" s="3" customFormat="1" ht="34.5" customHeight="1" thickTop="1" thickBot="1" x14ac:dyDescent="0.25">
      <c r="A91" s="640"/>
      <c r="B91" s="640"/>
      <c r="C91" s="640"/>
      <c r="D91" s="209" t="s">
        <v>4</v>
      </c>
      <c r="E91" s="209" t="s">
        <v>5</v>
      </c>
      <c r="F91" s="209" t="s">
        <v>6</v>
      </c>
      <c r="G91" s="209" t="s">
        <v>7</v>
      </c>
      <c r="H91" s="209" t="s">
        <v>2</v>
      </c>
      <c r="I91" s="209" t="s">
        <v>3</v>
      </c>
      <c r="J91" s="209" t="s">
        <v>8</v>
      </c>
      <c r="K91" s="209" t="s">
        <v>9</v>
      </c>
      <c r="L91" s="209" t="s">
        <v>1963</v>
      </c>
      <c r="M91" s="209" t="s">
        <v>1964</v>
      </c>
    </row>
    <row r="92" spans="1:13" s="3" customFormat="1" ht="36.75" customHeight="1" thickTop="1" thickBot="1" x14ac:dyDescent="0.25">
      <c r="A92" s="211" t="s">
        <v>485</v>
      </c>
      <c r="B92" s="210" t="s">
        <v>2517</v>
      </c>
      <c r="C92" s="211" t="s">
        <v>18</v>
      </c>
      <c r="D92" s="211">
        <v>3</v>
      </c>
      <c r="E92" s="211">
        <v>30</v>
      </c>
      <c r="F92" s="211">
        <v>3</v>
      </c>
      <c r="G92" s="211">
        <v>848</v>
      </c>
      <c r="H92" s="212">
        <v>363406511</v>
      </c>
      <c r="I92" s="213">
        <v>135000000</v>
      </c>
      <c r="J92" s="216" t="s">
        <v>486</v>
      </c>
      <c r="K92" s="214" t="s">
        <v>20</v>
      </c>
      <c r="L92" s="219">
        <v>125</v>
      </c>
      <c r="M92" s="214">
        <v>125</v>
      </c>
    </row>
    <row r="93" spans="1:13" s="3" customFormat="1" ht="48.75" customHeight="1" thickTop="1" thickBot="1" x14ac:dyDescent="0.25">
      <c r="A93" s="211" t="s">
        <v>485</v>
      </c>
      <c r="B93" s="210" t="s">
        <v>2517</v>
      </c>
      <c r="C93" s="211" t="s">
        <v>53</v>
      </c>
      <c r="D93" s="211">
        <v>3</v>
      </c>
      <c r="E93" s="211">
        <v>30</v>
      </c>
      <c r="F93" s="211">
        <v>3</v>
      </c>
      <c r="G93" s="211">
        <v>520</v>
      </c>
      <c r="H93" s="212">
        <v>160000000</v>
      </c>
      <c r="I93" s="213">
        <v>78400000</v>
      </c>
      <c r="J93" s="216" t="s">
        <v>487</v>
      </c>
      <c r="K93" s="214" t="s">
        <v>55</v>
      </c>
      <c r="L93" s="219">
        <v>2</v>
      </c>
      <c r="M93" s="214">
        <v>1</v>
      </c>
    </row>
    <row r="94" spans="1:13" s="3" customFormat="1" ht="48.75" customHeight="1" thickTop="1" thickBot="1" x14ac:dyDescent="0.25">
      <c r="A94" s="211" t="s">
        <v>485</v>
      </c>
      <c r="B94" s="210" t="s">
        <v>2517</v>
      </c>
      <c r="C94" s="211" t="s">
        <v>53</v>
      </c>
      <c r="D94" s="211">
        <v>3</v>
      </c>
      <c r="E94" s="211">
        <v>30</v>
      </c>
      <c r="F94" s="211">
        <v>3</v>
      </c>
      <c r="G94" s="211">
        <v>520</v>
      </c>
      <c r="H94" s="212">
        <v>116832303</v>
      </c>
      <c r="I94" s="213">
        <v>0</v>
      </c>
      <c r="J94" s="216" t="s">
        <v>488</v>
      </c>
      <c r="K94" s="214" t="s">
        <v>25</v>
      </c>
      <c r="L94" s="219">
        <v>2</v>
      </c>
      <c r="M94" s="214">
        <v>0</v>
      </c>
    </row>
    <row r="95" spans="1:13" s="3" customFormat="1" ht="48.75" customHeight="1" thickTop="1" thickBot="1" x14ac:dyDescent="0.25">
      <c r="A95" s="211" t="s">
        <v>485</v>
      </c>
      <c r="B95" s="210" t="s">
        <v>2517</v>
      </c>
      <c r="C95" s="211" t="s">
        <v>53</v>
      </c>
      <c r="D95" s="211">
        <v>3</v>
      </c>
      <c r="E95" s="211">
        <v>30</v>
      </c>
      <c r="F95" s="211">
        <v>3</v>
      </c>
      <c r="G95" s="211">
        <v>520</v>
      </c>
      <c r="H95" s="212">
        <v>420292979</v>
      </c>
      <c r="I95" s="213">
        <v>415748225</v>
      </c>
      <c r="J95" s="216" t="s">
        <v>489</v>
      </c>
      <c r="K95" s="214" t="s">
        <v>55</v>
      </c>
      <c r="L95" s="219">
        <v>10</v>
      </c>
      <c r="M95" s="214">
        <v>10</v>
      </c>
    </row>
    <row r="96" spans="1:13" s="3" customFormat="1" ht="48.75" customHeight="1" thickTop="1" thickBot="1" x14ac:dyDescent="0.25">
      <c r="A96" s="211" t="s">
        <v>485</v>
      </c>
      <c r="B96" s="210" t="s">
        <v>2517</v>
      </c>
      <c r="C96" s="211" t="s">
        <v>53</v>
      </c>
      <c r="D96" s="211">
        <v>3</v>
      </c>
      <c r="E96" s="211">
        <v>30</v>
      </c>
      <c r="F96" s="211">
        <v>3</v>
      </c>
      <c r="G96" s="211">
        <v>520</v>
      </c>
      <c r="H96" s="212">
        <v>150823245</v>
      </c>
      <c r="I96" s="213">
        <v>143870000</v>
      </c>
      <c r="J96" s="216" t="s">
        <v>490</v>
      </c>
      <c r="K96" s="214" t="s">
        <v>11</v>
      </c>
      <c r="L96" s="219">
        <v>2000</v>
      </c>
      <c r="M96" s="214">
        <v>1940</v>
      </c>
    </row>
    <row r="97" spans="1:13" s="54" customFormat="1" ht="16.5" thickTop="1" thickBot="1" x14ac:dyDescent="0.3">
      <c r="A97" s="43"/>
      <c r="B97" s="57"/>
      <c r="C97" s="45"/>
      <c r="D97" s="45"/>
      <c r="E97" s="45"/>
      <c r="F97" s="45"/>
      <c r="G97" s="45"/>
      <c r="H97" s="55"/>
      <c r="I97" s="55"/>
      <c r="J97" s="46"/>
      <c r="K97" s="46"/>
      <c r="L97" s="55"/>
      <c r="M97" s="56"/>
    </row>
    <row r="98" spans="1:13" s="3" customFormat="1" ht="30" customHeight="1" thickTop="1" thickBot="1" x14ac:dyDescent="0.25">
      <c r="A98" s="639" t="s">
        <v>0</v>
      </c>
      <c r="B98" s="639" t="s">
        <v>1</v>
      </c>
      <c r="C98" s="639" t="s">
        <v>2569</v>
      </c>
      <c r="D98" s="636" t="s">
        <v>1961</v>
      </c>
      <c r="E98" s="637"/>
      <c r="F98" s="637"/>
      <c r="G98" s="638"/>
      <c r="H98" s="636" t="s">
        <v>3</v>
      </c>
      <c r="I98" s="637"/>
      <c r="J98" s="636" t="s">
        <v>1962</v>
      </c>
      <c r="K98" s="637"/>
      <c r="L98" s="637"/>
      <c r="M98" s="638"/>
    </row>
    <row r="99" spans="1:13" s="3" customFormat="1" ht="34.5" customHeight="1" thickTop="1" thickBot="1" x14ac:dyDescent="0.25">
      <c r="A99" s="640"/>
      <c r="B99" s="640"/>
      <c r="C99" s="640"/>
      <c r="D99" s="209" t="s">
        <v>4</v>
      </c>
      <c r="E99" s="209" t="s">
        <v>5</v>
      </c>
      <c r="F99" s="209" t="s">
        <v>6</v>
      </c>
      <c r="G99" s="209" t="s">
        <v>7</v>
      </c>
      <c r="H99" s="209" t="s">
        <v>2</v>
      </c>
      <c r="I99" s="209" t="s">
        <v>3</v>
      </c>
      <c r="J99" s="209" t="s">
        <v>8</v>
      </c>
      <c r="K99" s="209" t="s">
        <v>9</v>
      </c>
      <c r="L99" s="209" t="s">
        <v>1963</v>
      </c>
      <c r="M99" s="209" t="s">
        <v>1964</v>
      </c>
    </row>
    <row r="100" spans="1:13" ht="46.5" thickTop="1" thickBot="1" x14ac:dyDescent="0.3">
      <c r="A100" s="211" t="s">
        <v>491</v>
      </c>
      <c r="B100" s="210" t="s">
        <v>2517</v>
      </c>
      <c r="C100" s="211" t="s">
        <v>53</v>
      </c>
      <c r="D100" s="211">
        <v>2</v>
      </c>
      <c r="E100" s="211">
        <v>30</v>
      </c>
      <c r="F100" s="211">
        <v>3</v>
      </c>
      <c r="G100" s="211">
        <v>520</v>
      </c>
      <c r="H100" s="212">
        <v>35287157</v>
      </c>
      <c r="I100" s="213">
        <v>0</v>
      </c>
      <c r="J100" s="216" t="s">
        <v>492</v>
      </c>
      <c r="K100" s="214" t="s">
        <v>55</v>
      </c>
      <c r="L100" s="219">
        <v>3</v>
      </c>
      <c r="M100" s="214">
        <v>0</v>
      </c>
    </row>
    <row r="101" spans="1:13" ht="46.5" thickTop="1" thickBot="1" x14ac:dyDescent="0.3">
      <c r="A101" s="211" t="s">
        <v>491</v>
      </c>
      <c r="B101" s="210" t="s">
        <v>2517</v>
      </c>
      <c r="C101" s="211" t="s">
        <v>53</v>
      </c>
      <c r="D101" s="211">
        <v>2</v>
      </c>
      <c r="E101" s="211">
        <v>30</v>
      </c>
      <c r="F101" s="211">
        <v>3</v>
      </c>
      <c r="G101" s="211">
        <v>520</v>
      </c>
      <c r="H101" s="212">
        <v>110368934</v>
      </c>
      <c r="I101" s="213">
        <v>110368934</v>
      </c>
      <c r="J101" s="216" t="s">
        <v>493</v>
      </c>
      <c r="K101" s="214" t="s">
        <v>25</v>
      </c>
      <c r="L101" s="219">
        <v>2</v>
      </c>
      <c r="M101" s="214">
        <v>2</v>
      </c>
    </row>
    <row r="102" spans="1:13" ht="46.5" thickTop="1" thickBot="1" x14ac:dyDescent="0.3">
      <c r="A102" s="211" t="s">
        <v>491</v>
      </c>
      <c r="B102" s="210" t="s">
        <v>2517</v>
      </c>
      <c r="C102" s="211" t="s">
        <v>53</v>
      </c>
      <c r="D102" s="211">
        <v>2</v>
      </c>
      <c r="E102" s="211">
        <v>30</v>
      </c>
      <c r="F102" s="211">
        <v>3</v>
      </c>
      <c r="G102" s="211">
        <v>520</v>
      </c>
      <c r="H102" s="212">
        <v>106670041</v>
      </c>
      <c r="I102" s="213">
        <v>106670041</v>
      </c>
      <c r="J102" s="216" t="s">
        <v>494</v>
      </c>
      <c r="K102" s="214" t="s">
        <v>495</v>
      </c>
      <c r="L102" s="219">
        <v>1</v>
      </c>
      <c r="M102" s="214">
        <v>1</v>
      </c>
    </row>
    <row r="103" spans="1:13" ht="46.5" thickTop="1" thickBot="1" x14ac:dyDescent="0.3">
      <c r="A103" s="211" t="s">
        <v>491</v>
      </c>
      <c r="B103" s="210" t="s">
        <v>2517</v>
      </c>
      <c r="C103" s="211" t="s">
        <v>53</v>
      </c>
      <c r="D103" s="211">
        <v>2</v>
      </c>
      <c r="E103" s="211">
        <v>30</v>
      </c>
      <c r="F103" s="211">
        <v>3</v>
      </c>
      <c r="G103" s="211">
        <v>520</v>
      </c>
      <c r="H103" s="212">
        <v>237160147</v>
      </c>
      <c r="I103" s="213">
        <v>237160147</v>
      </c>
      <c r="J103" s="216" t="s">
        <v>496</v>
      </c>
      <c r="K103" s="214" t="s">
        <v>55</v>
      </c>
      <c r="L103" s="219">
        <v>6</v>
      </c>
      <c r="M103" s="214">
        <v>6</v>
      </c>
    </row>
    <row r="104" spans="1:13" ht="37.5" customHeight="1" thickTop="1" thickBot="1" x14ac:dyDescent="0.3">
      <c r="A104" s="211" t="s">
        <v>491</v>
      </c>
      <c r="B104" s="210" t="s">
        <v>2517</v>
      </c>
      <c r="C104" s="211" t="s">
        <v>440</v>
      </c>
      <c r="D104" s="211">
        <v>2</v>
      </c>
      <c r="E104" s="211">
        <v>30</v>
      </c>
      <c r="F104" s="211">
        <v>3</v>
      </c>
      <c r="G104" s="211">
        <v>520</v>
      </c>
      <c r="H104" s="212">
        <v>120000000</v>
      </c>
      <c r="I104" s="213">
        <v>120000000</v>
      </c>
      <c r="J104" s="216" t="s">
        <v>497</v>
      </c>
      <c r="K104" s="214" t="s">
        <v>11</v>
      </c>
      <c r="L104" s="219">
        <v>1400</v>
      </c>
      <c r="M104" s="214">
        <v>1400</v>
      </c>
    </row>
    <row r="105" spans="1:13" ht="46.5" thickTop="1" thickBot="1" x14ac:dyDescent="0.3">
      <c r="A105" s="211" t="s">
        <v>491</v>
      </c>
      <c r="B105" s="210" t="s">
        <v>2517</v>
      </c>
      <c r="C105" s="211" t="s">
        <v>498</v>
      </c>
      <c r="D105" s="211">
        <v>2</v>
      </c>
      <c r="E105" s="211">
        <v>30</v>
      </c>
      <c r="F105" s="211">
        <v>3</v>
      </c>
      <c r="G105" s="211">
        <v>540</v>
      </c>
      <c r="H105" s="212">
        <v>40000000</v>
      </c>
      <c r="I105" s="213">
        <v>0</v>
      </c>
      <c r="J105" s="216" t="s">
        <v>499</v>
      </c>
      <c r="K105" s="214" t="s">
        <v>17</v>
      </c>
      <c r="L105" s="219">
        <v>200</v>
      </c>
      <c r="M105" s="214">
        <v>0</v>
      </c>
    </row>
    <row r="106" spans="1:13" s="70" customFormat="1" ht="16.5" thickTop="1" thickBot="1" x14ac:dyDescent="0.3">
      <c r="A106" s="57"/>
      <c r="B106" s="69"/>
      <c r="C106" s="45"/>
      <c r="D106" s="46"/>
      <c r="E106" s="46"/>
      <c r="F106" s="46"/>
      <c r="G106" s="46"/>
      <c r="H106" s="48"/>
      <c r="I106" s="48"/>
      <c r="J106" s="46"/>
      <c r="K106" s="46"/>
      <c r="L106" s="48"/>
      <c r="M106" s="48"/>
    </row>
    <row r="107" spans="1:13" s="3" customFormat="1" ht="30" customHeight="1" thickTop="1" thickBot="1" x14ac:dyDescent="0.25">
      <c r="A107" s="639" t="s">
        <v>0</v>
      </c>
      <c r="B107" s="639" t="s">
        <v>1</v>
      </c>
      <c r="C107" s="639" t="s">
        <v>2569</v>
      </c>
      <c r="D107" s="636" t="s">
        <v>1961</v>
      </c>
      <c r="E107" s="637"/>
      <c r="F107" s="637"/>
      <c r="G107" s="638"/>
      <c r="H107" s="636" t="s">
        <v>3</v>
      </c>
      <c r="I107" s="637"/>
      <c r="J107" s="636" t="s">
        <v>1962</v>
      </c>
      <c r="K107" s="637"/>
      <c r="L107" s="637"/>
      <c r="M107" s="638"/>
    </row>
    <row r="108" spans="1:13" s="3" customFormat="1" ht="34.5" customHeight="1" thickTop="1" thickBot="1" x14ac:dyDescent="0.25">
      <c r="A108" s="640"/>
      <c r="B108" s="640"/>
      <c r="C108" s="640"/>
      <c r="D108" s="209" t="s">
        <v>4</v>
      </c>
      <c r="E108" s="209" t="s">
        <v>5</v>
      </c>
      <c r="F108" s="209" t="s">
        <v>6</v>
      </c>
      <c r="G108" s="209" t="s">
        <v>7</v>
      </c>
      <c r="H108" s="209" t="s">
        <v>2</v>
      </c>
      <c r="I108" s="209" t="s">
        <v>3</v>
      </c>
      <c r="J108" s="209" t="s">
        <v>8</v>
      </c>
      <c r="K108" s="209" t="s">
        <v>9</v>
      </c>
      <c r="L108" s="209" t="s">
        <v>1963</v>
      </c>
      <c r="M108" s="209" t="s">
        <v>1964</v>
      </c>
    </row>
    <row r="109" spans="1:13" s="3" customFormat="1" ht="102.75" thickTop="1" thickBot="1" x14ac:dyDescent="0.25">
      <c r="A109" s="211" t="s">
        <v>500</v>
      </c>
      <c r="B109" s="210" t="s">
        <v>2520</v>
      </c>
      <c r="C109" s="649" t="s">
        <v>18</v>
      </c>
      <c r="D109" s="211">
        <v>3</v>
      </c>
      <c r="E109" s="211">
        <v>30</v>
      </c>
      <c r="F109" s="211">
        <v>3</v>
      </c>
      <c r="G109" s="211">
        <v>848</v>
      </c>
      <c r="H109" s="212">
        <v>361658127</v>
      </c>
      <c r="I109" s="213">
        <v>224650000</v>
      </c>
      <c r="J109" s="216" t="s">
        <v>501</v>
      </c>
      <c r="K109" s="214" t="s">
        <v>20</v>
      </c>
      <c r="L109" s="219">
        <v>550</v>
      </c>
      <c r="M109" s="214">
        <v>550</v>
      </c>
    </row>
    <row r="110" spans="1:13" s="3" customFormat="1" ht="32.25" customHeight="1" thickTop="1" thickBot="1" x14ac:dyDescent="0.25">
      <c r="A110" s="211" t="s">
        <v>500</v>
      </c>
      <c r="B110" s="210" t="s">
        <v>2520</v>
      </c>
      <c r="C110" s="650"/>
      <c r="D110" s="211">
        <v>3</v>
      </c>
      <c r="E110" s="211">
        <v>30</v>
      </c>
      <c r="F110" s="211">
        <v>3</v>
      </c>
      <c r="G110" s="211">
        <v>960</v>
      </c>
      <c r="H110" s="212">
        <v>24554000</v>
      </c>
      <c r="I110" s="213">
        <v>24554000</v>
      </c>
      <c r="J110" s="216" t="s">
        <v>505</v>
      </c>
      <c r="K110" s="214" t="s">
        <v>16</v>
      </c>
      <c r="L110" s="219">
        <v>1</v>
      </c>
      <c r="M110" s="214">
        <v>1</v>
      </c>
    </row>
    <row r="111" spans="1:13" s="3" customFormat="1" ht="43.5" customHeight="1" thickTop="1" thickBot="1" x14ac:dyDescent="0.25">
      <c r="A111" s="211" t="s">
        <v>500</v>
      </c>
      <c r="B111" s="210" t="s">
        <v>2520</v>
      </c>
      <c r="C111" s="211" t="s">
        <v>179</v>
      </c>
      <c r="D111" s="211">
        <v>3</v>
      </c>
      <c r="E111" s="211">
        <v>30</v>
      </c>
      <c r="F111" s="211">
        <v>3</v>
      </c>
      <c r="G111" s="211">
        <v>520</v>
      </c>
      <c r="H111" s="212">
        <v>720929302</v>
      </c>
      <c r="I111" s="213">
        <v>109000000</v>
      </c>
      <c r="J111" s="216" t="s">
        <v>502</v>
      </c>
      <c r="K111" s="214" t="s">
        <v>55</v>
      </c>
      <c r="L111" s="219">
        <v>4</v>
      </c>
      <c r="M111" s="214">
        <v>1</v>
      </c>
    </row>
    <row r="112" spans="1:13" s="3" customFormat="1" ht="35.25" thickTop="1" thickBot="1" x14ac:dyDescent="0.25">
      <c r="A112" s="211" t="s">
        <v>500</v>
      </c>
      <c r="B112" s="210" t="s">
        <v>2520</v>
      </c>
      <c r="C112" s="211" t="s">
        <v>517</v>
      </c>
      <c r="D112" s="211">
        <v>3</v>
      </c>
      <c r="E112" s="211">
        <v>30</v>
      </c>
      <c r="F112" s="211">
        <v>3</v>
      </c>
      <c r="G112" s="211">
        <v>520</v>
      </c>
      <c r="H112" s="212">
        <v>104232326</v>
      </c>
      <c r="I112" s="213">
        <v>102000000</v>
      </c>
      <c r="J112" s="216" t="s">
        <v>503</v>
      </c>
      <c r="K112" s="214" t="s">
        <v>13</v>
      </c>
      <c r="L112" s="219">
        <v>2</v>
      </c>
      <c r="M112" s="214">
        <v>2</v>
      </c>
    </row>
    <row r="113" spans="1:13" s="3" customFormat="1" ht="39.75" customHeight="1" thickTop="1" thickBot="1" x14ac:dyDescent="0.25">
      <c r="A113" s="211" t="s">
        <v>500</v>
      </c>
      <c r="B113" s="210" t="s">
        <v>2520</v>
      </c>
      <c r="C113" s="211" t="s">
        <v>517</v>
      </c>
      <c r="D113" s="211">
        <v>3</v>
      </c>
      <c r="E113" s="211">
        <v>30</v>
      </c>
      <c r="F113" s="211">
        <v>3</v>
      </c>
      <c r="G113" s="211">
        <v>520</v>
      </c>
      <c r="H113" s="212">
        <v>76000000</v>
      </c>
      <c r="I113" s="213">
        <v>73000000</v>
      </c>
      <c r="J113" s="216" t="s">
        <v>504</v>
      </c>
      <c r="K113" s="214" t="s">
        <v>13</v>
      </c>
      <c r="L113" s="219">
        <v>1</v>
      </c>
      <c r="M113" s="214">
        <v>1</v>
      </c>
    </row>
    <row r="114" spans="1:13" s="72" customFormat="1" ht="14.25" thickTop="1" thickBot="1" x14ac:dyDescent="0.25">
      <c r="A114" s="65"/>
      <c r="B114" s="4"/>
      <c r="C114" s="66"/>
      <c r="D114" s="68"/>
      <c r="E114" s="68"/>
      <c r="F114" s="68"/>
      <c r="G114" s="68"/>
      <c r="H114" s="68"/>
      <c r="I114" s="68"/>
      <c r="J114" s="66"/>
      <c r="K114" s="68"/>
      <c r="L114" s="68"/>
      <c r="M114" s="68"/>
    </row>
    <row r="115" spans="1:13" s="3" customFormat="1" ht="30" customHeight="1" thickTop="1" thickBot="1" x14ac:dyDescent="0.25">
      <c r="A115" s="639" t="s">
        <v>0</v>
      </c>
      <c r="B115" s="639" t="s">
        <v>1</v>
      </c>
      <c r="C115" s="639" t="s">
        <v>2569</v>
      </c>
      <c r="D115" s="636" t="s">
        <v>1961</v>
      </c>
      <c r="E115" s="637"/>
      <c r="F115" s="637"/>
      <c r="G115" s="638"/>
      <c r="H115" s="636" t="s">
        <v>3</v>
      </c>
      <c r="I115" s="637"/>
      <c r="J115" s="636" t="s">
        <v>1962</v>
      </c>
      <c r="K115" s="637"/>
      <c r="L115" s="637"/>
      <c r="M115" s="638"/>
    </row>
    <row r="116" spans="1:13" s="3" customFormat="1" ht="34.5" customHeight="1" thickTop="1" thickBot="1" x14ac:dyDescent="0.25">
      <c r="A116" s="640"/>
      <c r="B116" s="640"/>
      <c r="C116" s="640"/>
      <c r="D116" s="209" t="s">
        <v>4</v>
      </c>
      <c r="E116" s="209" t="s">
        <v>5</v>
      </c>
      <c r="F116" s="209" t="s">
        <v>6</v>
      </c>
      <c r="G116" s="209" t="s">
        <v>7</v>
      </c>
      <c r="H116" s="209" t="s">
        <v>2</v>
      </c>
      <c r="I116" s="209" t="s">
        <v>3</v>
      </c>
      <c r="J116" s="209" t="s">
        <v>8</v>
      </c>
      <c r="K116" s="209" t="s">
        <v>9</v>
      </c>
      <c r="L116" s="209" t="s">
        <v>1963</v>
      </c>
      <c r="M116" s="209" t="s">
        <v>1964</v>
      </c>
    </row>
    <row r="117" spans="1:13" ht="40.5" customHeight="1" thickTop="1" thickBot="1" x14ac:dyDescent="0.3">
      <c r="A117" s="211" t="s">
        <v>506</v>
      </c>
      <c r="B117" s="210" t="s">
        <v>2517</v>
      </c>
      <c r="C117" s="211" t="s">
        <v>18</v>
      </c>
      <c r="D117" s="211">
        <v>3</v>
      </c>
      <c r="E117" s="211">
        <v>30</v>
      </c>
      <c r="F117" s="211">
        <v>3</v>
      </c>
      <c r="G117" s="211">
        <v>848</v>
      </c>
      <c r="H117" s="212">
        <v>422395710</v>
      </c>
      <c r="I117" s="213">
        <v>184492000</v>
      </c>
      <c r="J117" s="216" t="s">
        <v>507</v>
      </c>
      <c r="K117" s="214" t="s">
        <v>20</v>
      </c>
      <c r="L117" s="219">
        <v>283</v>
      </c>
      <c r="M117" s="214">
        <v>125</v>
      </c>
    </row>
    <row r="118" spans="1:13" ht="50.25" customHeight="1" thickTop="1" thickBot="1" x14ac:dyDescent="0.3">
      <c r="A118" s="211" t="s">
        <v>506</v>
      </c>
      <c r="B118" s="210" t="s">
        <v>2517</v>
      </c>
      <c r="C118" s="211" t="s">
        <v>179</v>
      </c>
      <c r="D118" s="211">
        <v>3</v>
      </c>
      <c r="E118" s="211">
        <v>30</v>
      </c>
      <c r="F118" s="211">
        <v>3</v>
      </c>
      <c r="G118" s="211">
        <v>520</v>
      </c>
      <c r="H118" s="212">
        <v>614015957</v>
      </c>
      <c r="I118" s="213">
        <v>343848936</v>
      </c>
      <c r="J118" s="216" t="s">
        <v>1995</v>
      </c>
      <c r="K118" s="214" t="s">
        <v>25</v>
      </c>
      <c r="L118" s="219">
        <v>2</v>
      </c>
      <c r="M118" s="214">
        <v>1</v>
      </c>
    </row>
    <row r="119" spans="1:13" ht="47.25" customHeight="1" thickTop="1" thickBot="1" x14ac:dyDescent="0.3">
      <c r="A119" s="211" t="s">
        <v>506</v>
      </c>
      <c r="B119" s="210" t="s">
        <v>2517</v>
      </c>
      <c r="C119" s="211" t="s">
        <v>179</v>
      </c>
      <c r="D119" s="211">
        <v>3</v>
      </c>
      <c r="E119" s="211">
        <v>30</v>
      </c>
      <c r="F119" s="211">
        <v>3</v>
      </c>
      <c r="G119" s="211">
        <v>520</v>
      </c>
      <c r="H119" s="212">
        <v>213476565</v>
      </c>
      <c r="I119" s="213">
        <v>175546876</v>
      </c>
      <c r="J119" s="216" t="s">
        <v>1994</v>
      </c>
      <c r="K119" s="214" t="s">
        <v>28</v>
      </c>
      <c r="L119" s="219">
        <v>1</v>
      </c>
      <c r="M119" s="214">
        <v>1</v>
      </c>
    </row>
    <row r="120" spans="1:13" ht="47.25" customHeight="1" thickTop="1" thickBot="1" x14ac:dyDescent="0.3">
      <c r="A120" s="211" t="s">
        <v>506</v>
      </c>
      <c r="B120" s="210" t="s">
        <v>2517</v>
      </c>
      <c r="C120" s="211" t="s">
        <v>179</v>
      </c>
      <c r="D120" s="211">
        <v>3</v>
      </c>
      <c r="E120" s="211">
        <v>30</v>
      </c>
      <c r="F120" s="211">
        <v>3</v>
      </c>
      <c r="G120" s="211">
        <v>520</v>
      </c>
      <c r="H120" s="212">
        <v>353476565</v>
      </c>
      <c r="I120" s="213">
        <v>146244188</v>
      </c>
      <c r="J120" s="216" t="s">
        <v>1996</v>
      </c>
      <c r="K120" s="214" t="s">
        <v>13</v>
      </c>
      <c r="L120" s="219">
        <v>7</v>
      </c>
      <c r="M120" s="214">
        <v>3</v>
      </c>
    </row>
    <row r="121" spans="1:13" s="54" customFormat="1" ht="16.5" thickTop="1" thickBot="1" x14ac:dyDescent="0.3">
      <c r="A121" s="43"/>
      <c r="B121" s="69"/>
      <c r="C121" s="45"/>
      <c r="D121" s="45"/>
      <c r="E121" s="45"/>
      <c r="F121" s="45"/>
      <c r="G121" s="45"/>
      <c r="H121" s="46"/>
      <c r="I121" s="46"/>
      <c r="J121" s="22"/>
      <c r="K121" s="46"/>
      <c r="L121" s="45"/>
      <c r="M121" s="46"/>
    </row>
    <row r="122" spans="1:13" s="3" customFormat="1" ht="30" customHeight="1" thickTop="1" thickBot="1" x14ac:dyDescent="0.25">
      <c r="A122" s="639" t="s">
        <v>0</v>
      </c>
      <c r="B122" s="639" t="s">
        <v>1</v>
      </c>
      <c r="C122" s="639" t="s">
        <v>2569</v>
      </c>
      <c r="D122" s="636" t="s">
        <v>1961</v>
      </c>
      <c r="E122" s="637"/>
      <c r="F122" s="637"/>
      <c r="G122" s="638"/>
      <c r="H122" s="636" t="s">
        <v>3</v>
      </c>
      <c r="I122" s="637"/>
      <c r="J122" s="636" t="s">
        <v>1962</v>
      </c>
      <c r="K122" s="637"/>
      <c r="L122" s="637"/>
      <c r="M122" s="638"/>
    </row>
    <row r="123" spans="1:13" s="3" customFormat="1" ht="34.5" customHeight="1" thickTop="1" thickBot="1" x14ac:dyDescent="0.25">
      <c r="A123" s="640"/>
      <c r="B123" s="640"/>
      <c r="C123" s="640"/>
      <c r="D123" s="209" t="s">
        <v>4</v>
      </c>
      <c r="E123" s="209" t="s">
        <v>5</v>
      </c>
      <c r="F123" s="209" t="s">
        <v>6</v>
      </c>
      <c r="G123" s="209" t="s">
        <v>7</v>
      </c>
      <c r="H123" s="209" t="s">
        <v>2</v>
      </c>
      <c r="I123" s="209" t="s">
        <v>3</v>
      </c>
      <c r="J123" s="209" t="s">
        <v>8</v>
      </c>
      <c r="K123" s="209" t="s">
        <v>9</v>
      </c>
      <c r="L123" s="209" t="s">
        <v>1963</v>
      </c>
      <c r="M123" s="209" t="s">
        <v>1964</v>
      </c>
    </row>
    <row r="124" spans="1:13" s="73" customFormat="1" ht="42" customHeight="1" thickTop="1" thickBot="1" x14ac:dyDescent="0.25">
      <c r="A124" s="211" t="s">
        <v>2521</v>
      </c>
      <c r="B124" s="210" t="s">
        <v>2517</v>
      </c>
      <c r="C124" s="211" t="s">
        <v>18</v>
      </c>
      <c r="D124" s="211">
        <v>3</v>
      </c>
      <c r="E124" s="211">
        <v>30</v>
      </c>
      <c r="F124" s="211">
        <v>3</v>
      </c>
      <c r="G124" s="211">
        <v>848</v>
      </c>
      <c r="H124" s="212">
        <v>312538633</v>
      </c>
      <c r="I124" s="213">
        <v>273089000</v>
      </c>
      <c r="J124" s="216" t="s">
        <v>508</v>
      </c>
      <c r="K124" s="214" t="s">
        <v>114</v>
      </c>
      <c r="L124" s="219">
        <v>240</v>
      </c>
      <c r="M124" s="214">
        <v>210</v>
      </c>
    </row>
    <row r="125" spans="1:13" s="73" customFormat="1" ht="47.25" customHeight="1" thickTop="1" thickBot="1" x14ac:dyDescent="0.25">
      <c r="A125" s="627" t="s">
        <v>2521</v>
      </c>
      <c r="B125" s="210" t="s">
        <v>2517</v>
      </c>
      <c r="C125" s="649" t="s">
        <v>179</v>
      </c>
      <c r="D125" s="211">
        <v>3</v>
      </c>
      <c r="E125" s="211">
        <v>30</v>
      </c>
      <c r="F125" s="211">
        <v>3</v>
      </c>
      <c r="G125" s="211">
        <v>520</v>
      </c>
      <c r="H125" s="212">
        <v>562256811</v>
      </c>
      <c r="I125" s="213">
        <v>360000000</v>
      </c>
      <c r="J125" s="216" t="s">
        <v>509</v>
      </c>
      <c r="K125" s="214" t="s">
        <v>354</v>
      </c>
      <c r="L125" s="219">
        <v>60</v>
      </c>
      <c r="M125" s="214">
        <v>38</v>
      </c>
    </row>
    <row r="126" spans="1:13" s="73" customFormat="1" ht="47.25" customHeight="1" thickTop="1" thickBot="1" x14ac:dyDescent="0.25">
      <c r="A126" s="627" t="s">
        <v>2521</v>
      </c>
      <c r="B126" s="210" t="s">
        <v>2517</v>
      </c>
      <c r="C126" s="650"/>
      <c r="D126" s="211">
        <v>3</v>
      </c>
      <c r="E126" s="211">
        <v>30</v>
      </c>
      <c r="F126" s="211">
        <v>3</v>
      </c>
      <c r="G126" s="211">
        <v>520</v>
      </c>
      <c r="H126" s="212">
        <v>72000000</v>
      </c>
      <c r="I126" s="213">
        <v>72000000</v>
      </c>
      <c r="J126" s="216" t="s">
        <v>510</v>
      </c>
      <c r="K126" s="214" t="s">
        <v>25</v>
      </c>
      <c r="L126" s="219">
        <v>5</v>
      </c>
      <c r="M126" s="214">
        <v>5</v>
      </c>
    </row>
    <row r="127" spans="1:13" s="73" customFormat="1" ht="39" customHeight="1" thickTop="1" thickBot="1" x14ac:dyDescent="0.25">
      <c r="A127" s="627" t="s">
        <v>2521</v>
      </c>
      <c r="B127" s="210" t="s">
        <v>2517</v>
      </c>
      <c r="C127" s="211" t="s">
        <v>517</v>
      </c>
      <c r="D127" s="211">
        <v>3</v>
      </c>
      <c r="E127" s="211">
        <v>30</v>
      </c>
      <c r="F127" s="211">
        <v>3</v>
      </c>
      <c r="G127" s="211">
        <v>520</v>
      </c>
      <c r="H127" s="212">
        <v>20000000</v>
      </c>
      <c r="I127" s="213">
        <v>20000000</v>
      </c>
      <c r="J127" s="216" t="s">
        <v>511</v>
      </c>
      <c r="K127" s="214" t="s">
        <v>108</v>
      </c>
      <c r="L127" s="219">
        <v>10</v>
      </c>
      <c r="M127" s="214">
        <v>10</v>
      </c>
    </row>
    <row r="128" spans="1:13" s="73" customFormat="1" ht="47.25" customHeight="1" thickTop="1" thickBot="1" x14ac:dyDescent="0.25">
      <c r="A128" s="627" t="s">
        <v>2521</v>
      </c>
      <c r="B128" s="210" t="s">
        <v>2517</v>
      </c>
      <c r="C128" s="211" t="s">
        <v>42</v>
      </c>
      <c r="D128" s="211">
        <v>3</v>
      </c>
      <c r="E128" s="211">
        <v>30</v>
      </c>
      <c r="F128" s="211">
        <v>3</v>
      </c>
      <c r="G128" s="211">
        <v>540</v>
      </c>
      <c r="H128" s="212">
        <v>75000000</v>
      </c>
      <c r="I128" s="213">
        <v>0</v>
      </c>
      <c r="J128" s="216" t="s">
        <v>512</v>
      </c>
      <c r="K128" s="214" t="s">
        <v>180</v>
      </c>
      <c r="L128" s="219">
        <v>8</v>
      </c>
      <c r="M128" s="214">
        <v>0</v>
      </c>
    </row>
    <row r="129" spans="1:13" s="54" customFormat="1" ht="16.5" thickTop="1" thickBot="1" x14ac:dyDescent="0.3">
      <c r="A129" s="75"/>
      <c r="B129" s="74"/>
      <c r="C129" s="22"/>
      <c r="D129" s="76"/>
      <c r="E129" s="76"/>
      <c r="F129" s="76"/>
      <c r="G129" s="76"/>
      <c r="H129" s="77"/>
      <c r="I129" s="77"/>
      <c r="J129" s="76"/>
      <c r="K129" s="76"/>
      <c r="L129" s="77"/>
      <c r="M129" s="77"/>
    </row>
    <row r="130" spans="1:13" s="3" customFormat="1" ht="30" customHeight="1" thickTop="1" thickBot="1" x14ac:dyDescent="0.25">
      <c r="A130" s="639" t="s">
        <v>0</v>
      </c>
      <c r="B130" s="639" t="s">
        <v>1</v>
      </c>
      <c r="C130" s="639" t="s">
        <v>2569</v>
      </c>
      <c r="D130" s="636" t="s">
        <v>1961</v>
      </c>
      <c r="E130" s="637"/>
      <c r="F130" s="637"/>
      <c r="G130" s="638"/>
      <c r="H130" s="636" t="s">
        <v>3</v>
      </c>
      <c r="I130" s="637"/>
      <c r="J130" s="636" t="s">
        <v>1962</v>
      </c>
      <c r="K130" s="637"/>
      <c r="L130" s="637"/>
      <c r="M130" s="638"/>
    </row>
    <row r="131" spans="1:13" s="3" customFormat="1" ht="34.5" customHeight="1" thickTop="1" thickBot="1" x14ac:dyDescent="0.25">
      <c r="A131" s="640"/>
      <c r="B131" s="640"/>
      <c r="C131" s="640"/>
      <c r="D131" s="209" t="s">
        <v>4</v>
      </c>
      <c r="E131" s="209" t="s">
        <v>5</v>
      </c>
      <c r="F131" s="209" t="s">
        <v>6</v>
      </c>
      <c r="G131" s="209" t="s">
        <v>7</v>
      </c>
      <c r="H131" s="209" t="s">
        <v>2</v>
      </c>
      <c r="I131" s="209" t="s">
        <v>3</v>
      </c>
      <c r="J131" s="209" t="s">
        <v>8</v>
      </c>
      <c r="K131" s="209" t="s">
        <v>9</v>
      </c>
      <c r="L131" s="209" t="s">
        <v>1963</v>
      </c>
      <c r="M131" s="209" t="s">
        <v>1964</v>
      </c>
    </row>
    <row r="132" spans="1:13" s="3" customFormat="1" ht="43.5" customHeight="1" thickTop="1" thickBot="1" x14ac:dyDescent="0.25">
      <c r="A132" s="211" t="s">
        <v>513</v>
      </c>
      <c r="B132" s="210" t="s">
        <v>2517</v>
      </c>
      <c r="C132" s="211" t="s">
        <v>18</v>
      </c>
      <c r="D132" s="211">
        <v>3</v>
      </c>
      <c r="E132" s="211">
        <v>30</v>
      </c>
      <c r="F132" s="211">
        <v>3</v>
      </c>
      <c r="G132" s="211">
        <v>848</v>
      </c>
      <c r="H132" s="212">
        <v>350905357</v>
      </c>
      <c r="I132" s="213">
        <v>185640000</v>
      </c>
      <c r="J132" s="216" t="s">
        <v>514</v>
      </c>
      <c r="K132" s="214" t="s">
        <v>20</v>
      </c>
      <c r="L132" s="219">
        <v>253</v>
      </c>
      <c r="M132" s="214">
        <v>253</v>
      </c>
    </row>
    <row r="133" spans="1:13" s="3" customFormat="1" ht="50.25" customHeight="1" thickTop="1" thickBot="1" x14ac:dyDescent="0.25">
      <c r="A133" s="211" t="s">
        <v>513</v>
      </c>
      <c r="B133" s="210" t="s">
        <v>2517</v>
      </c>
      <c r="C133" s="211" t="s">
        <v>179</v>
      </c>
      <c r="D133" s="211">
        <v>3</v>
      </c>
      <c r="E133" s="211">
        <v>30</v>
      </c>
      <c r="F133" s="211">
        <v>3</v>
      </c>
      <c r="G133" s="211">
        <v>520</v>
      </c>
      <c r="H133" s="212">
        <v>196783844</v>
      </c>
      <c r="I133" s="213">
        <v>0</v>
      </c>
      <c r="J133" s="216" t="s">
        <v>515</v>
      </c>
      <c r="K133" s="214" t="s">
        <v>55</v>
      </c>
      <c r="L133" s="219">
        <v>6</v>
      </c>
      <c r="M133" s="214">
        <v>0</v>
      </c>
    </row>
    <row r="134" spans="1:13" s="3" customFormat="1" ht="55.5" customHeight="1" thickTop="1" thickBot="1" x14ac:dyDescent="0.25">
      <c r="A134" s="211" t="s">
        <v>513</v>
      </c>
      <c r="B134" s="210" t="s">
        <v>2517</v>
      </c>
      <c r="C134" s="211" t="s">
        <v>179</v>
      </c>
      <c r="D134" s="211">
        <v>3</v>
      </c>
      <c r="E134" s="211">
        <v>30</v>
      </c>
      <c r="F134" s="211">
        <v>3</v>
      </c>
      <c r="G134" s="211">
        <v>520</v>
      </c>
      <c r="H134" s="212">
        <v>480000000</v>
      </c>
      <c r="I134" s="213">
        <v>286982980</v>
      </c>
      <c r="J134" s="216" t="s">
        <v>516</v>
      </c>
      <c r="K134" s="214" t="s">
        <v>55</v>
      </c>
      <c r="L134" s="219">
        <v>20</v>
      </c>
      <c r="M134" s="214">
        <v>19.2</v>
      </c>
    </row>
    <row r="135" spans="1:13" s="3" customFormat="1" ht="40.5" customHeight="1" thickTop="1" thickBot="1" x14ac:dyDescent="0.25">
      <c r="A135" s="211" t="s">
        <v>513</v>
      </c>
      <c r="B135" s="210" t="s">
        <v>2517</v>
      </c>
      <c r="C135" s="211" t="s">
        <v>517</v>
      </c>
      <c r="D135" s="211">
        <v>3</v>
      </c>
      <c r="E135" s="211">
        <v>30</v>
      </c>
      <c r="F135" s="211">
        <v>3</v>
      </c>
      <c r="G135" s="211">
        <v>520</v>
      </c>
      <c r="H135" s="212">
        <v>169195961</v>
      </c>
      <c r="I135" s="213">
        <f>52000000+109000000</f>
        <v>161000000</v>
      </c>
      <c r="J135" s="216" t="s">
        <v>1980</v>
      </c>
      <c r="K135" s="214" t="s">
        <v>108</v>
      </c>
      <c r="L135" s="219">
        <v>18</v>
      </c>
      <c r="M135" s="214">
        <v>18</v>
      </c>
    </row>
    <row r="136" spans="1:13" s="54" customFormat="1" ht="16.5" thickTop="1" thickBot="1" x14ac:dyDescent="0.3">
      <c r="A136" s="43"/>
      <c r="B136" s="69"/>
      <c r="C136" s="45"/>
      <c r="D136" s="46"/>
      <c r="E136" s="45"/>
      <c r="F136" s="46"/>
      <c r="G136" s="45"/>
      <c r="H136" s="46"/>
      <c r="I136" s="46"/>
      <c r="J136" s="46"/>
      <c r="K136" s="46"/>
      <c r="L136" s="46"/>
      <c r="M136" s="46"/>
    </row>
    <row r="137" spans="1:13" s="3" customFormat="1" ht="30" customHeight="1" thickTop="1" thickBot="1" x14ac:dyDescent="0.25">
      <c r="A137" s="639" t="s">
        <v>0</v>
      </c>
      <c r="B137" s="639" t="s">
        <v>1</v>
      </c>
      <c r="C137" s="639" t="s">
        <v>2569</v>
      </c>
      <c r="D137" s="636" t="s">
        <v>1961</v>
      </c>
      <c r="E137" s="637"/>
      <c r="F137" s="637"/>
      <c r="G137" s="638"/>
      <c r="H137" s="636" t="s">
        <v>3</v>
      </c>
      <c r="I137" s="637"/>
      <c r="J137" s="636" t="s">
        <v>1962</v>
      </c>
      <c r="K137" s="637"/>
      <c r="L137" s="637"/>
      <c r="M137" s="638"/>
    </row>
    <row r="138" spans="1:13" s="3" customFormat="1" ht="34.5" customHeight="1" thickTop="1" thickBot="1" x14ac:dyDescent="0.25">
      <c r="A138" s="640"/>
      <c r="B138" s="640"/>
      <c r="C138" s="640"/>
      <c r="D138" s="209" t="s">
        <v>4</v>
      </c>
      <c r="E138" s="209" t="s">
        <v>5</v>
      </c>
      <c r="F138" s="209" t="s">
        <v>6</v>
      </c>
      <c r="G138" s="209" t="s">
        <v>7</v>
      </c>
      <c r="H138" s="209" t="s">
        <v>2</v>
      </c>
      <c r="I138" s="209" t="s">
        <v>3</v>
      </c>
      <c r="J138" s="209" t="s">
        <v>8</v>
      </c>
      <c r="K138" s="209" t="s">
        <v>9</v>
      </c>
      <c r="L138" s="209" t="s">
        <v>1963</v>
      </c>
      <c r="M138" s="209" t="s">
        <v>1964</v>
      </c>
    </row>
    <row r="139" spans="1:13" s="3" customFormat="1" ht="36.75" customHeight="1" thickTop="1" thickBot="1" x14ac:dyDescent="0.25">
      <c r="A139" s="211" t="s">
        <v>518</v>
      </c>
      <c r="B139" s="210" t="s">
        <v>2517</v>
      </c>
      <c r="C139" s="211" t="s">
        <v>18</v>
      </c>
      <c r="D139" s="211">
        <v>3</v>
      </c>
      <c r="E139" s="211">
        <v>30</v>
      </c>
      <c r="F139" s="211">
        <v>3</v>
      </c>
      <c r="G139" s="211">
        <v>848</v>
      </c>
      <c r="H139" s="212">
        <v>492444195</v>
      </c>
      <c r="I139" s="213">
        <v>287895000</v>
      </c>
      <c r="J139" s="216" t="s">
        <v>519</v>
      </c>
      <c r="K139" s="214" t="s">
        <v>20</v>
      </c>
      <c r="L139" s="219">
        <v>566</v>
      </c>
      <c r="M139" s="214">
        <v>328</v>
      </c>
    </row>
    <row r="140" spans="1:13" s="3" customFormat="1" ht="36.75" customHeight="1" thickTop="1" thickBot="1" x14ac:dyDescent="0.25">
      <c r="A140" s="627" t="s">
        <v>518</v>
      </c>
      <c r="B140" s="210" t="s">
        <v>2517</v>
      </c>
      <c r="C140" s="211" t="s">
        <v>520</v>
      </c>
      <c r="D140" s="211">
        <v>3</v>
      </c>
      <c r="E140" s="211">
        <v>30</v>
      </c>
      <c r="F140" s="211">
        <v>3</v>
      </c>
      <c r="G140" s="211">
        <v>960</v>
      </c>
      <c r="H140" s="212">
        <v>37240000</v>
      </c>
      <c r="I140" s="213">
        <v>37240000</v>
      </c>
      <c r="J140" s="216" t="s">
        <v>521</v>
      </c>
      <c r="K140" s="214" t="s">
        <v>16</v>
      </c>
      <c r="L140" s="219">
        <v>1</v>
      </c>
      <c r="M140" s="214">
        <v>1</v>
      </c>
    </row>
    <row r="141" spans="1:13" s="3" customFormat="1" ht="48.75" customHeight="1" thickTop="1" thickBot="1" x14ac:dyDescent="0.25">
      <c r="A141" s="627" t="s">
        <v>518</v>
      </c>
      <c r="B141" s="210" t="s">
        <v>2517</v>
      </c>
      <c r="C141" s="211" t="s">
        <v>179</v>
      </c>
      <c r="D141" s="211">
        <v>3</v>
      </c>
      <c r="E141" s="211">
        <v>30</v>
      </c>
      <c r="F141" s="211">
        <v>3</v>
      </c>
      <c r="G141" s="211">
        <v>520</v>
      </c>
      <c r="H141" s="212">
        <v>999036452</v>
      </c>
      <c r="I141" s="213">
        <v>952000890</v>
      </c>
      <c r="J141" s="216" t="s">
        <v>522</v>
      </c>
      <c r="K141" s="214" t="s">
        <v>55</v>
      </c>
      <c r="L141" s="219">
        <v>11</v>
      </c>
      <c r="M141" s="214">
        <v>10</v>
      </c>
    </row>
    <row r="142" spans="1:13" s="3" customFormat="1" ht="34.5" customHeight="1" thickTop="1" thickBot="1" x14ac:dyDescent="0.25">
      <c r="A142" s="627" t="s">
        <v>518</v>
      </c>
      <c r="B142" s="210" t="s">
        <v>2517</v>
      </c>
      <c r="C142" s="211" t="s">
        <v>105</v>
      </c>
      <c r="D142" s="211">
        <v>3</v>
      </c>
      <c r="E142" s="211">
        <v>30</v>
      </c>
      <c r="F142" s="211">
        <v>3</v>
      </c>
      <c r="G142" s="211">
        <v>540</v>
      </c>
      <c r="H142" s="212">
        <v>150000000</v>
      </c>
      <c r="I142" s="213">
        <v>78900000</v>
      </c>
      <c r="J142" s="216" t="s">
        <v>523</v>
      </c>
      <c r="K142" s="214" t="s">
        <v>180</v>
      </c>
      <c r="L142" s="219">
        <v>40</v>
      </c>
      <c r="M142" s="214">
        <v>21</v>
      </c>
    </row>
    <row r="143" spans="1:13" s="3" customFormat="1" ht="45.75" customHeight="1" thickTop="1" thickBot="1" x14ac:dyDescent="0.25">
      <c r="A143" s="627" t="s">
        <v>518</v>
      </c>
      <c r="B143" s="210" t="s">
        <v>2517</v>
      </c>
      <c r="C143" s="211" t="s">
        <v>179</v>
      </c>
      <c r="D143" s="211">
        <v>3</v>
      </c>
      <c r="E143" s="211">
        <v>30</v>
      </c>
      <c r="F143" s="211">
        <v>3</v>
      </c>
      <c r="G143" s="211">
        <v>980</v>
      </c>
      <c r="H143" s="212">
        <v>118000000</v>
      </c>
      <c r="I143" s="213">
        <v>118000000</v>
      </c>
      <c r="J143" s="216" t="s">
        <v>521</v>
      </c>
      <c r="K143" s="214" t="s">
        <v>16</v>
      </c>
      <c r="L143" s="219">
        <v>1</v>
      </c>
      <c r="M143" s="214">
        <v>1</v>
      </c>
    </row>
    <row r="144" spans="1:13" s="54" customFormat="1" ht="16.5" thickTop="1" thickBot="1" x14ac:dyDescent="0.3">
      <c r="A144" s="43"/>
      <c r="B144" s="69"/>
      <c r="C144" s="45"/>
      <c r="D144" s="45"/>
      <c r="E144" s="45"/>
      <c r="F144" s="45"/>
      <c r="G144" s="45"/>
      <c r="H144" s="78"/>
      <c r="I144" s="78"/>
      <c r="J144" s="22"/>
      <c r="K144" s="45"/>
      <c r="L144" s="45"/>
      <c r="M144" s="45"/>
    </row>
    <row r="145" spans="1:13" s="3" customFormat="1" ht="30" customHeight="1" thickTop="1" thickBot="1" x14ac:dyDescent="0.25">
      <c r="A145" s="639" t="s">
        <v>0</v>
      </c>
      <c r="B145" s="639" t="s">
        <v>1</v>
      </c>
      <c r="C145" s="639" t="s">
        <v>2569</v>
      </c>
      <c r="D145" s="636" t="s">
        <v>1961</v>
      </c>
      <c r="E145" s="637"/>
      <c r="F145" s="637"/>
      <c r="G145" s="638"/>
      <c r="H145" s="636" t="s">
        <v>3</v>
      </c>
      <c r="I145" s="637"/>
      <c r="J145" s="636" t="s">
        <v>1962</v>
      </c>
      <c r="K145" s="637"/>
      <c r="L145" s="637"/>
      <c r="M145" s="638"/>
    </row>
    <row r="146" spans="1:13" s="3" customFormat="1" ht="34.5" customHeight="1" thickTop="1" thickBot="1" x14ac:dyDescent="0.25">
      <c r="A146" s="640"/>
      <c r="B146" s="640"/>
      <c r="C146" s="640"/>
      <c r="D146" s="209" t="s">
        <v>4</v>
      </c>
      <c r="E146" s="209" t="s">
        <v>5</v>
      </c>
      <c r="F146" s="209" t="s">
        <v>6</v>
      </c>
      <c r="G146" s="209" t="s">
        <v>7</v>
      </c>
      <c r="H146" s="209" t="s">
        <v>2</v>
      </c>
      <c r="I146" s="209" t="s">
        <v>3</v>
      </c>
      <c r="J146" s="209" t="s">
        <v>8</v>
      </c>
      <c r="K146" s="209" t="s">
        <v>9</v>
      </c>
      <c r="L146" s="209" t="s">
        <v>1963</v>
      </c>
      <c r="M146" s="209" t="s">
        <v>1964</v>
      </c>
    </row>
    <row r="147" spans="1:13" s="3" customFormat="1" ht="41.25" customHeight="1" thickTop="1" thickBot="1" x14ac:dyDescent="0.25">
      <c r="A147" s="627" t="s">
        <v>524</v>
      </c>
      <c r="B147" s="210" t="s">
        <v>2517</v>
      </c>
      <c r="C147" s="649" t="s">
        <v>18</v>
      </c>
      <c r="D147" s="211">
        <v>2</v>
      </c>
      <c r="E147" s="211">
        <v>30</v>
      </c>
      <c r="F147" s="211">
        <v>3</v>
      </c>
      <c r="G147" s="211">
        <v>848</v>
      </c>
      <c r="H147" s="212">
        <v>185890705</v>
      </c>
      <c r="I147" s="213">
        <v>156600000</v>
      </c>
      <c r="J147" s="216" t="s">
        <v>525</v>
      </c>
      <c r="K147" s="214" t="s">
        <v>20</v>
      </c>
      <c r="L147" s="219">
        <v>185</v>
      </c>
      <c r="M147" s="214">
        <v>185</v>
      </c>
    </row>
    <row r="148" spans="1:13" s="3" customFormat="1" ht="41.25" customHeight="1" thickTop="1" thickBot="1" x14ac:dyDescent="0.25">
      <c r="A148" s="211" t="s">
        <v>524</v>
      </c>
      <c r="B148" s="210" t="s">
        <v>2517</v>
      </c>
      <c r="C148" s="650"/>
      <c r="D148" s="211">
        <v>3</v>
      </c>
      <c r="E148" s="211">
        <v>30</v>
      </c>
      <c r="F148" s="211">
        <v>3</v>
      </c>
      <c r="G148" s="211">
        <v>960</v>
      </c>
      <c r="H148" s="212">
        <v>111665000</v>
      </c>
      <c r="I148" s="213">
        <v>111665000</v>
      </c>
      <c r="J148" s="216" t="s">
        <v>530</v>
      </c>
      <c r="K148" s="214" t="s">
        <v>16</v>
      </c>
      <c r="L148" s="219">
        <v>2</v>
      </c>
      <c r="M148" s="214">
        <v>2</v>
      </c>
    </row>
    <row r="149" spans="1:13" s="3" customFormat="1" ht="47.25" customHeight="1" thickTop="1" thickBot="1" x14ac:dyDescent="0.25">
      <c r="A149" s="211" t="s">
        <v>524</v>
      </c>
      <c r="B149" s="210" t="s">
        <v>2517</v>
      </c>
      <c r="C149" s="211" t="s">
        <v>179</v>
      </c>
      <c r="D149" s="211">
        <v>3</v>
      </c>
      <c r="E149" s="211">
        <v>30</v>
      </c>
      <c r="F149" s="211">
        <v>3</v>
      </c>
      <c r="G149" s="211">
        <v>520</v>
      </c>
      <c r="H149" s="212">
        <v>108744978</v>
      </c>
      <c r="I149" s="213">
        <v>0</v>
      </c>
      <c r="J149" s="216" t="s">
        <v>526</v>
      </c>
      <c r="K149" s="214" t="s">
        <v>15</v>
      </c>
      <c r="L149" s="219">
        <v>2</v>
      </c>
      <c r="M149" s="214">
        <v>0</v>
      </c>
    </row>
    <row r="150" spans="1:13" s="3" customFormat="1" ht="47.25" customHeight="1" thickTop="1" thickBot="1" x14ac:dyDescent="0.25">
      <c r="A150" s="211" t="s">
        <v>524</v>
      </c>
      <c r="B150" s="210" t="s">
        <v>2517</v>
      </c>
      <c r="C150" s="211" t="s">
        <v>179</v>
      </c>
      <c r="D150" s="211">
        <v>3</v>
      </c>
      <c r="E150" s="211">
        <v>30</v>
      </c>
      <c r="F150" s="211">
        <v>3</v>
      </c>
      <c r="G150" s="211">
        <v>520</v>
      </c>
      <c r="H150" s="212">
        <v>300000000</v>
      </c>
      <c r="I150" s="213">
        <v>0</v>
      </c>
      <c r="J150" s="216" t="s">
        <v>527</v>
      </c>
      <c r="K150" s="214" t="s">
        <v>15</v>
      </c>
      <c r="L150" s="219">
        <v>1</v>
      </c>
      <c r="M150" s="214">
        <v>0</v>
      </c>
    </row>
    <row r="151" spans="1:13" s="3" customFormat="1" ht="47.25" customHeight="1" thickTop="1" thickBot="1" x14ac:dyDescent="0.25">
      <c r="A151" s="211" t="s">
        <v>524</v>
      </c>
      <c r="B151" s="210" t="s">
        <v>2517</v>
      </c>
      <c r="C151" s="211" t="s">
        <v>179</v>
      </c>
      <c r="D151" s="211">
        <v>3</v>
      </c>
      <c r="E151" s="211">
        <v>30</v>
      </c>
      <c r="F151" s="211">
        <v>3</v>
      </c>
      <c r="G151" s="211">
        <v>520</v>
      </c>
      <c r="H151" s="212">
        <v>10000000</v>
      </c>
      <c r="I151" s="213">
        <v>0</v>
      </c>
      <c r="J151" s="216" t="s">
        <v>528</v>
      </c>
      <c r="K151" s="214" t="s">
        <v>103</v>
      </c>
      <c r="L151" s="219">
        <v>2</v>
      </c>
      <c r="M151" s="214">
        <v>0</v>
      </c>
    </row>
    <row r="152" spans="1:13" s="3" customFormat="1" ht="46.5" thickTop="1" thickBot="1" x14ac:dyDescent="0.25">
      <c r="A152" s="211" t="s">
        <v>524</v>
      </c>
      <c r="B152" s="210" t="s">
        <v>2517</v>
      </c>
      <c r="C152" s="649" t="s">
        <v>179</v>
      </c>
      <c r="D152" s="211">
        <v>3</v>
      </c>
      <c r="E152" s="211">
        <v>30</v>
      </c>
      <c r="F152" s="211">
        <v>3</v>
      </c>
      <c r="G152" s="211">
        <v>540</v>
      </c>
      <c r="H152" s="212">
        <v>15000000</v>
      </c>
      <c r="I152" s="213">
        <v>0</v>
      </c>
      <c r="J152" s="216" t="s">
        <v>529</v>
      </c>
      <c r="K152" s="214" t="s">
        <v>17</v>
      </c>
      <c r="L152" s="219">
        <v>18</v>
      </c>
      <c r="M152" s="214">
        <v>0</v>
      </c>
    </row>
    <row r="153" spans="1:13" s="3" customFormat="1" ht="42.75" customHeight="1" thickTop="1" thickBot="1" x14ac:dyDescent="0.25">
      <c r="A153" s="211" t="s">
        <v>524</v>
      </c>
      <c r="B153" s="210" t="s">
        <v>2517</v>
      </c>
      <c r="C153" s="650"/>
      <c r="D153" s="211">
        <v>3</v>
      </c>
      <c r="E153" s="211">
        <v>30</v>
      </c>
      <c r="F153" s="211">
        <v>3</v>
      </c>
      <c r="G153" s="211">
        <v>989</v>
      </c>
      <c r="H153" s="212">
        <v>65962936</v>
      </c>
      <c r="I153" s="213">
        <v>65962936</v>
      </c>
      <c r="J153" s="216" t="s">
        <v>531</v>
      </c>
      <c r="K153" s="214" t="s">
        <v>16</v>
      </c>
      <c r="L153" s="219">
        <v>2</v>
      </c>
      <c r="M153" s="214">
        <v>2</v>
      </c>
    </row>
    <row r="154" spans="1:13" ht="15.75" thickTop="1" x14ac:dyDescent="0.25">
      <c r="A154" s="42"/>
      <c r="B154" s="42"/>
      <c r="C154" s="42"/>
      <c r="D154" s="42"/>
      <c r="E154" s="42"/>
      <c r="F154" s="42"/>
      <c r="G154" s="42"/>
      <c r="H154" s="42"/>
      <c r="I154" s="42"/>
      <c r="J154" s="42"/>
      <c r="K154" s="42"/>
      <c r="L154" s="42"/>
      <c r="M154" s="42"/>
    </row>
    <row r="155" spans="1:13" x14ac:dyDescent="0.25">
      <c r="A155" s="42"/>
      <c r="B155" s="42"/>
      <c r="C155" s="42"/>
      <c r="D155" s="42"/>
      <c r="E155" s="42"/>
      <c r="F155" s="42"/>
      <c r="G155" s="42"/>
      <c r="H155" s="42"/>
      <c r="I155" s="42"/>
      <c r="J155" s="42"/>
      <c r="K155" s="42"/>
      <c r="L155" s="42"/>
      <c r="M155" s="42"/>
    </row>
  </sheetData>
  <mergeCells count="114">
    <mergeCell ref="C109:C110"/>
    <mergeCell ref="C14:C15"/>
    <mergeCell ref="C27:C28"/>
    <mergeCell ref="H130:I130"/>
    <mergeCell ref="J130:M130"/>
    <mergeCell ref="H137:I137"/>
    <mergeCell ref="J137:M137"/>
    <mergeCell ref="J77:M77"/>
    <mergeCell ref="D107:G107"/>
    <mergeCell ref="D115:G115"/>
    <mergeCell ref="H115:I115"/>
    <mergeCell ref="J115:M115"/>
    <mergeCell ref="H122:I122"/>
    <mergeCell ref="J122:M122"/>
    <mergeCell ref="C115:C116"/>
    <mergeCell ref="C125:C126"/>
    <mergeCell ref="H145:I145"/>
    <mergeCell ref="J145:M145"/>
    <mergeCell ref="B5:B6"/>
    <mergeCell ref="C5:C6"/>
    <mergeCell ref="H12:I12"/>
    <mergeCell ref="J12:M12"/>
    <mergeCell ref="H25:I25"/>
    <mergeCell ref="J25:M25"/>
    <mergeCell ref="H33:I33"/>
    <mergeCell ref="J33:M33"/>
    <mergeCell ref="H38:I38"/>
    <mergeCell ref="J38:M38"/>
    <mergeCell ref="B25:B26"/>
    <mergeCell ref="C25:C26"/>
    <mergeCell ref="B12:B13"/>
    <mergeCell ref="C12:C13"/>
    <mergeCell ref="D12:G12"/>
    <mergeCell ref="D25:G25"/>
    <mergeCell ref="B68:B69"/>
    <mergeCell ref="C68:C69"/>
    <mergeCell ref="D68:G68"/>
    <mergeCell ref="H68:I68"/>
    <mergeCell ref="J68:M68"/>
    <mergeCell ref="H77:I77"/>
    <mergeCell ref="D5:G5"/>
    <mergeCell ref="C33:C34"/>
    <mergeCell ref="D33:G33"/>
    <mergeCell ref="B38:B39"/>
    <mergeCell ref="B33:B34"/>
    <mergeCell ref="H48:I48"/>
    <mergeCell ref="J48:M48"/>
    <mergeCell ref="B55:B56"/>
    <mergeCell ref="C55:C56"/>
    <mergeCell ref="D55:G55"/>
    <mergeCell ref="B48:B49"/>
    <mergeCell ref="C48:C49"/>
    <mergeCell ref="D48:G48"/>
    <mergeCell ref="H55:I55"/>
    <mergeCell ref="J55:M55"/>
    <mergeCell ref="H5:I5"/>
    <mergeCell ref="J5:M5"/>
    <mergeCell ref="C38:C39"/>
    <mergeCell ref="D38:G38"/>
    <mergeCell ref="B84:B85"/>
    <mergeCell ref="C84:C85"/>
    <mergeCell ref="D84:G84"/>
    <mergeCell ref="H84:I84"/>
    <mergeCell ref="J84:M84"/>
    <mergeCell ref="H90:I90"/>
    <mergeCell ref="J90:M90"/>
    <mergeCell ref="B77:B78"/>
    <mergeCell ref="C77:C78"/>
    <mergeCell ref="D77:G77"/>
    <mergeCell ref="B98:B99"/>
    <mergeCell ref="C98:C99"/>
    <mergeCell ref="D98:G98"/>
    <mergeCell ref="H98:I98"/>
    <mergeCell ref="J98:M98"/>
    <mergeCell ref="H107:I107"/>
    <mergeCell ref="J107:M107"/>
    <mergeCell ref="B90:B91"/>
    <mergeCell ref="C90:C91"/>
    <mergeCell ref="D90:G90"/>
    <mergeCell ref="B107:B108"/>
    <mergeCell ref="C107:C108"/>
    <mergeCell ref="B145:B146"/>
    <mergeCell ref="C145:C146"/>
    <mergeCell ref="D145:G145"/>
    <mergeCell ref="B137:B138"/>
    <mergeCell ref="C137:C138"/>
    <mergeCell ref="D137:G137"/>
    <mergeCell ref="B130:B131"/>
    <mergeCell ref="C130:C131"/>
    <mergeCell ref="D130:G130"/>
    <mergeCell ref="B122:B123"/>
    <mergeCell ref="C122:C123"/>
    <mergeCell ref="D122:G122"/>
    <mergeCell ref="C147:C148"/>
    <mergeCell ref="C152:C153"/>
    <mergeCell ref="A137:A138"/>
    <mergeCell ref="A145:A146"/>
    <mergeCell ref="A5:A6"/>
    <mergeCell ref="A12:A13"/>
    <mergeCell ref="A25:A26"/>
    <mergeCell ref="A33:A34"/>
    <mergeCell ref="A38:A39"/>
    <mergeCell ref="A48:A49"/>
    <mergeCell ref="A55:A56"/>
    <mergeCell ref="A68:A69"/>
    <mergeCell ref="A77:A78"/>
    <mergeCell ref="A84:A85"/>
    <mergeCell ref="A90:A91"/>
    <mergeCell ref="A98:A99"/>
    <mergeCell ref="A107:A108"/>
    <mergeCell ref="A115:A116"/>
    <mergeCell ref="A122:A123"/>
    <mergeCell ref="A130:A131"/>
    <mergeCell ref="B115:B116"/>
  </mergeCells>
  <hyperlinks>
    <hyperlink ref="A147" location="_4.18._Tebicuary" display="4.18. Tebicuary"/>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227"/>
  <sheetViews>
    <sheetView showGridLines="0" topLeftCell="A84" zoomScaleNormal="100" workbookViewId="0">
      <selection activeCell="A137" sqref="A137"/>
    </sheetView>
  </sheetViews>
  <sheetFormatPr baseColWidth="10" defaultRowHeight="15" x14ac:dyDescent="0.25"/>
  <cols>
    <col min="1" max="1" width="20.7109375" customWidth="1"/>
    <col min="2" max="2" width="19.7109375" customWidth="1"/>
    <col min="3" max="3" width="21.85546875" customWidth="1"/>
    <col min="4" max="7" width="8.7109375" customWidth="1"/>
    <col min="8" max="9" width="15.140625" customWidth="1"/>
    <col min="10" max="10" width="32.140625" customWidth="1"/>
    <col min="11" max="11" width="12.140625" customWidth="1"/>
    <col min="12" max="13" width="15.140625" customWidth="1"/>
    <col min="14" max="14" width="11.42578125" style="267"/>
  </cols>
  <sheetData>
    <row r="4" spans="1:14" ht="9.75" customHeight="1" thickBot="1" x14ac:dyDescent="0.3"/>
    <row r="5" spans="1:14" ht="30" customHeight="1" thickTop="1" thickBot="1" x14ac:dyDescent="0.3">
      <c r="A5" s="639" t="s">
        <v>0</v>
      </c>
      <c r="B5" s="639" t="s">
        <v>1</v>
      </c>
      <c r="C5" s="639" t="s">
        <v>2569</v>
      </c>
      <c r="D5" s="636" t="s">
        <v>1961</v>
      </c>
      <c r="E5" s="637"/>
      <c r="F5" s="637"/>
      <c r="G5" s="638"/>
      <c r="H5" s="636" t="s">
        <v>3</v>
      </c>
      <c r="I5" s="637"/>
      <c r="J5" s="636" t="s">
        <v>1962</v>
      </c>
      <c r="K5" s="637"/>
      <c r="L5" s="637"/>
      <c r="M5" s="638"/>
    </row>
    <row r="6" spans="1:14" ht="34.5" customHeight="1" thickTop="1" thickBot="1" x14ac:dyDescent="0.3">
      <c r="A6" s="640"/>
      <c r="B6" s="640"/>
      <c r="C6" s="640"/>
      <c r="D6" s="209" t="s">
        <v>4</v>
      </c>
      <c r="E6" s="209" t="s">
        <v>5</v>
      </c>
      <c r="F6" s="209" t="s">
        <v>6</v>
      </c>
      <c r="G6" s="209" t="s">
        <v>7</v>
      </c>
      <c r="H6" s="209" t="s">
        <v>2</v>
      </c>
      <c r="I6" s="209" t="s">
        <v>3</v>
      </c>
      <c r="J6" s="209" t="s">
        <v>8</v>
      </c>
      <c r="K6" s="261" t="s">
        <v>9</v>
      </c>
      <c r="L6" s="261" t="s">
        <v>1963</v>
      </c>
      <c r="M6" s="261" t="s">
        <v>1964</v>
      </c>
    </row>
    <row r="7" spans="1:14" s="73" customFormat="1" ht="51.75" customHeight="1" thickTop="1" thickBot="1" x14ac:dyDescent="0.25">
      <c r="A7" s="210" t="s">
        <v>532</v>
      </c>
      <c r="B7" s="211" t="s">
        <v>2522</v>
      </c>
      <c r="C7" s="211" t="s">
        <v>18</v>
      </c>
      <c r="D7" s="211">
        <v>3</v>
      </c>
      <c r="E7" s="211">
        <v>30</v>
      </c>
      <c r="F7" s="211">
        <v>3</v>
      </c>
      <c r="G7" s="211">
        <v>848</v>
      </c>
      <c r="H7" s="212">
        <v>1416360775</v>
      </c>
      <c r="I7" s="213">
        <v>990711000</v>
      </c>
      <c r="J7" s="216" t="s">
        <v>534</v>
      </c>
      <c r="K7" s="263" t="s">
        <v>20</v>
      </c>
      <c r="L7" s="306">
        <v>1359</v>
      </c>
      <c r="M7" s="306">
        <v>951</v>
      </c>
      <c r="N7" s="268"/>
    </row>
    <row r="8" spans="1:14" s="73" customFormat="1" ht="48" customHeight="1" thickTop="1" thickBot="1" x14ac:dyDescent="0.25">
      <c r="A8" s="210" t="s">
        <v>532</v>
      </c>
      <c r="B8" s="627" t="s">
        <v>2522</v>
      </c>
      <c r="C8" s="211" t="s">
        <v>53</v>
      </c>
      <c r="D8" s="211">
        <v>3</v>
      </c>
      <c r="E8" s="211">
        <v>30</v>
      </c>
      <c r="F8" s="211">
        <v>3</v>
      </c>
      <c r="G8" s="211">
        <v>520</v>
      </c>
      <c r="H8" s="212">
        <v>1412519561</v>
      </c>
      <c r="I8" s="213">
        <v>1232679295</v>
      </c>
      <c r="J8" s="216" t="s">
        <v>1981</v>
      </c>
      <c r="K8" s="263" t="s">
        <v>55</v>
      </c>
      <c r="L8" s="306">
        <v>18</v>
      </c>
      <c r="M8" s="306">
        <v>15</v>
      </c>
      <c r="N8" s="268"/>
    </row>
    <row r="9" spans="1:14" s="73" customFormat="1" ht="48" customHeight="1" thickTop="1" thickBot="1" x14ac:dyDescent="0.25">
      <c r="A9" s="210" t="s">
        <v>532</v>
      </c>
      <c r="B9" s="627" t="s">
        <v>2522</v>
      </c>
      <c r="C9" s="211" t="s">
        <v>53</v>
      </c>
      <c r="D9" s="211">
        <v>3</v>
      </c>
      <c r="E9" s="211">
        <v>30</v>
      </c>
      <c r="F9" s="211">
        <v>3</v>
      </c>
      <c r="G9" s="211">
        <v>520</v>
      </c>
      <c r="H9" s="212">
        <v>200000000</v>
      </c>
      <c r="I9" s="213">
        <v>0</v>
      </c>
      <c r="J9" s="216" t="s">
        <v>535</v>
      </c>
      <c r="K9" s="263" t="s">
        <v>25</v>
      </c>
      <c r="L9" s="306">
        <v>5</v>
      </c>
      <c r="M9" s="306">
        <v>0</v>
      </c>
      <c r="N9" s="268"/>
    </row>
    <row r="10" spans="1:14" s="73" customFormat="1" ht="39.75" customHeight="1" thickTop="1" thickBot="1" x14ac:dyDescent="0.25">
      <c r="A10" s="210" t="s">
        <v>532</v>
      </c>
      <c r="B10" s="627" t="s">
        <v>2522</v>
      </c>
      <c r="C10" s="211" t="s">
        <v>440</v>
      </c>
      <c r="D10" s="211">
        <v>3</v>
      </c>
      <c r="E10" s="211">
        <v>30</v>
      </c>
      <c r="F10" s="211">
        <v>3</v>
      </c>
      <c r="G10" s="211">
        <v>520</v>
      </c>
      <c r="H10" s="212">
        <v>372560094</v>
      </c>
      <c r="I10" s="213">
        <v>0</v>
      </c>
      <c r="J10" s="216" t="s">
        <v>536</v>
      </c>
      <c r="K10" s="263" t="s">
        <v>11</v>
      </c>
      <c r="L10" s="306">
        <v>8279</v>
      </c>
      <c r="M10" s="306">
        <v>0</v>
      </c>
      <c r="N10" s="268"/>
    </row>
    <row r="11" spans="1:14" s="73" customFormat="1" ht="39.75" customHeight="1" thickTop="1" thickBot="1" x14ac:dyDescent="0.25">
      <c r="A11" s="210" t="s">
        <v>532</v>
      </c>
      <c r="B11" s="627" t="s">
        <v>2522</v>
      </c>
      <c r="C11" s="211" t="s">
        <v>440</v>
      </c>
      <c r="D11" s="211">
        <v>3</v>
      </c>
      <c r="E11" s="211">
        <v>30</v>
      </c>
      <c r="F11" s="211">
        <v>3</v>
      </c>
      <c r="G11" s="211">
        <v>520</v>
      </c>
      <c r="H11" s="212">
        <v>150000000</v>
      </c>
      <c r="I11" s="213">
        <v>107558840</v>
      </c>
      <c r="J11" s="216" t="s">
        <v>537</v>
      </c>
      <c r="K11" s="263" t="s">
        <v>81</v>
      </c>
      <c r="L11" s="306">
        <v>1</v>
      </c>
      <c r="M11" s="306">
        <v>1</v>
      </c>
      <c r="N11" s="268"/>
    </row>
    <row r="12" spans="1:14" s="73" customFormat="1" ht="43.5" customHeight="1" thickTop="1" thickBot="1" x14ac:dyDescent="0.25">
      <c r="A12" s="210" t="s">
        <v>532</v>
      </c>
      <c r="B12" s="627" t="s">
        <v>2522</v>
      </c>
      <c r="C12" s="211" t="s">
        <v>105</v>
      </c>
      <c r="D12" s="211">
        <v>3</v>
      </c>
      <c r="E12" s="211">
        <v>30</v>
      </c>
      <c r="F12" s="211">
        <v>3</v>
      </c>
      <c r="G12" s="211">
        <v>530</v>
      </c>
      <c r="H12" s="212">
        <v>280000000</v>
      </c>
      <c r="I12" s="213">
        <v>122430000</v>
      </c>
      <c r="J12" s="216" t="s">
        <v>538</v>
      </c>
      <c r="K12" s="263" t="s">
        <v>539</v>
      </c>
      <c r="L12" s="306">
        <v>800</v>
      </c>
      <c r="M12" s="306">
        <v>352</v>
      </c>
      <c r="N12" s="268"/>
    </row>
    <row r="13" spans="1:14" s="73" customFormat="1" ht="43.5" customHeight="1" thickTop="1" thickBot="1" x14ac:dyDescent="0.25">
      <c r="A13" s="210" t="s">
        <v>532</v>
      </c>
      <c r="B13" s="627" t="s">
        <v>2522</v>
      </c>
      <c r="C13" s="649" t="s">
        <v>53</v>
      </c>
      <c r="D13" s="211">
        <v>2</v>
      </c>
      <c r="E13" s="211">
        <v>30</v>
      </c>
      <c r="F13" s="211">
        <v>3</v>
      </c>
      <c r="G13" s="211">
        <v>580</v>
      </c>
      <c r="H13" s="212">
        <v>40000000</v>
      </c>
      <c r="I13" s="213">
        <v>15000000</v>
      </c>
      <c r="J13" s="216" t="s">
        <v>540</v>
      </c>
      <c r="K13" s="263" t="s">
        <v>72</v>
      </c>
      <c r="L13" s="306">
        <v>27</v>
      </c>
      <c r="M13" s="306">
        <v>10</v>
      </c>
      <c r="N13" s="268"/>
    </row>
    <row r="14" spans="1:14" s="73" customFormat="1" ht="47.25" customHeight="1" thickTop="1" thickBot="1" x14ac:dyDescent="0.25">
      <c r="A14" s="210" t="s">
        <v>532</v>
      </c>
      <c r="B14" s="627" t="s">
        <v>2522</v>
      </c>
      <c r="C14" s="650"/>
      <c r="D14" s="211">
        <v>3</v>
      </c>
      <c r="E14" s="211">
        <v>30</v>
      </c>
      <c r="F14" s="211">
        <v>3</v>
      </c>
      <c r="G14" s="211">
        <v>590</v>
      </c>
      <c r="H14" s="212">
        <v>650000000</v>
      </c>
      <c r="I14" s="213">
        <v>29540000</v>
      </c>
      <c r="J14" s="216" t="s">
        <v>541</v>
      </c>
      <c r="K14" s="263" t="s">
        <v>55</v>
      </c>
      <c r="L14" s="306">
        <v>20</v>
      </c>
      <c r="M14" s="306">
        <v>1</v>
      </c>
      <c r="N14" s="268"/>
    </row>
    <row r="15" spans="1:14" s="73" customFormat="1" ht="41.25" customHeight="1" thickTop="1" thickBot="1" x14ac:dyDescent="0.25">
      <c r="A15" s="210" t="s">
        <v>532</v>
      </c>
      <c r="B15" s="627" t="s">
        <v>2522</v>
      </c>
      <c r="C15" s="649" t="s">
        <v>53</v>
      </c>
      <c r="D15" s="211">
        <v>3</v>
      </c>
      <c r="E15" s="211">
        <v>30</v>
      </c>
      <c r="F15" s="211">
        <v>3</v>
      </c>
      <c r="G15" s="211">
        <v>590</v>
      </c>
      <c r="H15" s="212">
        <v>49762156</v>
      </c>
      <c r="I15" s="213">
        <v>0</v>
      </c>
      <c r="J15" s="216" t="s">
        <v>542</v>
      </c>
      <c r="K15" s="263" t="s">
        <v>25</v>
      </c>
      <c r="L15" s="306">
        <v>10</v>
      </c>
      <c r="M15" s="306">
        <v>0</v>
      </c>
      <c r="N15" s="268"/>
    </row>
    <row r="16" spans="1:14" s="73" customFormat="1" ht="36.75" customHeight="1" thickTop="1" thickBot="1" x14ac:dyDescent="0.25">
      <c r="A16" s="210" t="s">
        <v>532</v>
      </c>
      <c r="B16" s="627" t="s">
        <v>2522</v>
      </c>
      <c r="C16" s="650"/>
      <c r="D16" s="211">
        <v>3</v>
      </c>
      <c r="E16" s="211">
        <v>30</v>
      </c>
      <c r="F16" s="211">
        <v>3</v>
      </c>
      <c r="G16" s="211">
        <v>980</v>
      </c>
      <c r="H16" s="212">
        <v>150000000</v>
      </c>
      <c r="I16" s="213">
        <v>49068398</v>
      </c>
      <c r="J16" s="216" t="s">
        <v>543</v>
      </c>
      <c r="K16" s="263" t="s">
        <v>16</v>
      </c>
      <c r="L16" s="306">
        <v>12</v>
      </c>
      <c r="M16" s="306">
        <v>4</v>
      </c>
      <c r="N16" s="268"/>
    </row>
    <row r="17" spans="1:14" s="54" customFormat="1" ht="15.75" customHeight="1" thickTop="1" thickBot="1" x14ac:dyDescent="0.3">
      <c r="A17" s="80"/>
      <c r="B17" s="80"/>
      <c r="C17" s="45"/>
      <c r="D17" s="46"/>
      <c r="E17" s="46"/>
      <c r="F17" s="46"/>
      <c r="G17" s="46"/>
      <c r="H17" s="82"/>
      <c r="I17" s="82"/>
      <c r="J17" s="81"/>
      <c r="K17" s="265"/>
      <c r="L17" s="266"/>
      <c r="M17" s="266"/>
      <c r="N17" s="269"/>
    </row>
    <row r="18" spans="1:14" s="83" customFormat="1" ht="30" customHeight="1" thickTop="1" thickBot="1" x14ac:dyDescent="0.3">
      <c r="A18" s="639" t="s">
        <v>0</v>
      </c>
      <c r="B18" s="639" t="s">
        <v>1</v>
      </c>
      <c r="C18" s="639" t="s">
        <v>2569</v>
      </c>
      <c r="D18" s="636" t="s">
        <v>1961</v>
      </c>
      <c r="E18" s="637"/>
      <c r="F18" s="637"/>
      <c r="G18" s="638"/>
      <c r="H18" s="636" t="s">
        <v>3</v>
      </c>
      <c r="I18" s="637"/>
      <c r="J18" s="636" t="s">
        <v>1962</v>
      </c>
      <c r="K18" s="637"/>
      <c r="L18" s="637"/>
      <c r="M18" s="638"/>
      <c r="N18" s="270"/>
    </row>
    <row r="19" spans="1:14" s="83" customFormat="1" ht="34.5" customHeight="1" thickTop="1" thickBot="1" x14ac:dyDescent="0.3">
      <c r="A19" s="640"/>
      <c r="B19" s="640"/>
      <c r="C19" s="640"/>
      <c r="D19" s="209" t="s">
        <v>4</v>
      </c>
      <c r="E19" s="209" t="s">
        <v>5</v>
      </c>
      <c r="F19" s="209" t="s">
        <v>6</v>
      </c>
      <c r="G19" s="209" t="s">
        <v>7</v>
      </c>
      <c r="H19" s="209" t="s">
        <v>2</v>
      </c>
      <c r="I19" s="209" t="s">
        <v>3</v>
      </c>
      <c r="J19" s="209" t="s">
        <v>8</v>
      </c>
      <c r="K19" s="261" t="s">
        <v>9</v>
      </c>
      <c r="L19" s="261" t="s">
        <v>1963</v>
      </c>
      <c r="M19" s="261" t="s">
        <v>1964</v>
      </c>
      <c r="N19" s="270"/>
    </row>
    <row r="20" spans="1:14" s="84" customFormat="1" ht="30" customHeight="1" thickTop="1" thickBot="1" x14ac:dyDescent="0.25">
      <c r="A20" s="210" t="s">
        <v>2523</v>
      </c>
      <c r="B20" s="627" t="s">
        <v>2522</v>
      </c>
      <c r="C20" s="649" t="s">
        <v>18</v>
      </c>
      <c r="D20" s="211">
        <v>2</v>
      </c>
      <c r="E20" s="211">
        <v>30</v>
      </c>
      <c r="F20" s="211">
        <v>3</v>
      </c>
      <c r="G20" s="211">
        <v>960</v>
      </c>
      <c r="H20" s="212">
        <v>208632300</v>
      </c>
      <c r="I20" s="213">
        <v>208632300</v>
      </c>
      <c r="J20" s="216" t="s">
        <v>544</v>
      </c>
      <c r="K20" s="263" t="s">
        <v>16</v>
      </c>
      <c r="L20" s="306">
        <v>3</v>
      </c>
      <c r="M20" s="306">
        <v>3</v>
      </c>
      <c r="N20" s="271"/>
    </row>
    <row r="21" spans="1:14" s="84" customFormat="1" ht="48" customHeight="1" thickTop="1" thickBot="1" x14ac:dyDescent="0.25">
      <c r="A21" s="210" t="s">
        <v>2523</v>
      </c>
      <c r="B21" s="627" t="s">
        <v>2522</v>
      </c>
      <c r="C21" s="650"/>
      <c r="D21" s="211">
        <v>2</v>
      </c>
      <c r="E21" s="211">
        <v>30</v>
      </c>
      <c r="F21" s="211">
        <v>3</v>
      </c>
      <c r="G21" s="211">
        <v>848</v>
      </c>
      <c r="H21" s="212">
        <v>1302730769</v>
      </c>
      <c r="I21" s="213">
        <v>712690000</v>
      </c>
      <c r="J21" s="216" t="s">
        <v>545</v>
      </c>
      <c r="K21" s="263" t="s">
        <v>20</v>
      </c>
      <c r="L21" s="306">
        <v>742</v>
      </c>
      <c r="M21" s="306">
        <v>742</v>
      </c>
      <c r="N21" s="271"/>
    </row>
    <row r="22" spans="1:14" s="84" customFormat="1" ht="48" customHeight="1" thickTop="1" thickBot="1" x14ac:dyDescent="0.25">
      <c r="A22" s="210" t="s">
        <v>2523</v>
      </c>
      <c r="B22" s="627" t="s">
        <v>2522</v>
      </c>
      <c r="C22" s="420" t="s">
        <v>53</v>
      </c>
      <c r="D22" s="211">
        <v>2</v>
      </c>
      <c r="E22" s="211">
        <v>30</v>
      </c>
      <c r="F22" s="211">
        <v>3</v>
      </c>
      <c r="G22" s="211">
        <v>520</v>
      </c>
      <c r="H22" s="212">
        <v>797863962</v>
      </c>
      <c r="I22" s="213">
        <v>588388889</v>
      </c>
      <c r="J22" s="216" t="s">
        <v>546</v>
      </c>
      <c r="K22" s="263" t="s">
        <v>55</v>
      </c>
      <c r="L22" s="306">
        <v>18</v>
      </c>
      <c r="M22" s="306">
        <v>18</v>
      </c>
      <c r="N22" s="271"/>
    </row>
    <row r="23" spans="1:14" s="84" customFormat="1" ht="48" customHeight="1" thickTop="1" thickBot="1" x14ac:dyDescent="0.25">
      <c r="A23" s="210" t="s">
        <v>2523</v>
      </c>
      <c r="B23" s="627" t="s">
        <v>2522</v>
      </c>
      <c r="C23" s="420" t="s">
        <v>53</v>
      </c>
      <c r="D23" s="211">
        <v>2</v>
      </c>
      <c r="E23" s="211">
        <v>30</v>
      </c>
      <c r="F23" s="211">
        <v>3</v>
      </c>
      <c r="G23" s="211">
        <v>520</v>
      </c>
      <c r="H23" s="212">
        <v>278000000</v>
      </c>
      <c r="I23" s="213">
        <v>112501804</v>
      </c>
      <c r="J23" s="216" t="s">
        <v>547</v>
      </c>
      <c r="K23" s="263" t="s">
        <v>25</v>
      </c>
      <c r="L23" s="306">
        <v>9</v>
      </c>
      <c r="M23" s="306">
        <v>9</v>
      </c>
      <c r="N23" s="271"/>
    </row>
    <row r="24" spans="1:14" s="84" customFormat="1" ht="48" customHeight="1" thickTop="1" thickBot="1" x14ac:dyDescent="0.25">
      <c r="A24" s="210" t="s">
        <v>2523</v>
      </c>
      <c r="B24" s="627" t="s">
        <v>2522</v>
      </c>
      <c r="C24" s="420" t="s">
        <v>53</v>
      </c>
      <c r="D24" s="211">
        <v>2</v>
      </c>
      <c r="E24" s="211">
        <v>30</v>
      </c>
      <c r="F24" s="211">
        <v>3</v>
      </c>
      <c r="G24" s="211">
        <v>520</v>
      </c>
      <c r="H24" s="212">
        <v>80677307</v>
      </c>
      <c r="I24" s="213">
        <v>47352209</v>
      </c>
      <c r="J24" s="216" t="s">
        <v>548</v>
      </c>
      <c r="K24" s="263" t="s">
        <v>410</v>
      </c>
      <c r="L24" s="306">
        <v>1</v>
      </c>
      <c r="M24" s="306">
        <v>1</v>
      </c>
      <c r="N24" s="271"/>
    </row>
    <row r="25" spans="1:14" s="84" customFormat="1" ht="48" customHeight="1" thickTop="1" thickBot="1" x14ac:dyDescent="0.25">
      <c r="A25" s="210" t="s">
        <v>2523</v>
      </c>
      <c r="B25" s="627" t="s">
        <v>2522</v>
      </c>
      <c r="C25" s="420" t="s">
        <v>53</v>
      </c>
      <c r="D25" s="211">
        <v>2</v>
      </c>
      <c r="E25" s="211">
        <v>30</v>
      </c>
      <c r="F25" s="211">
        <v>3</v>
      </c>
      <c r="G25" s="211">
        <v>520</v>
      </c>
      <c r="H25" s="212">
        <v>237299810</v>
      </c>
      <c r="I25" s="213">
        <v>237299810</v>
      </c>
      <c r="J25" s="216" t="s">
        <v>549</v>
      </c>
      <c r="K25" s="263" t="s">
        <v>81</v>
      </c>
      <c r="L25" s="306">
        <v>4</v>
      </c>
      <c r="M25" s="306">
        <v>4</v>
      </c>
      <c r="N25" s="271"/>
    </row>
    <row r="26" spans="1:14" s="84" customFormat="1" ht="48" customHeight="1" thickTop="1" thickBot="1" x14ac:dyDescent="0.25">
      <c r="A26" s="210" t="s">
        <v>2523</v>
      </c>
      <c r="B26" s="627" t="s">
        <v>2522</v>
      </c>
      <c r="C26" s="420" t="s">
        <v>53</v>
      </c>
      <c r="D26" s="211">
        <v>2</v>
      </c>
      <c r="E26" s="211">
        <v>30</v>
      </c>
      <c r="F26" s="211">
        <v>3</v>
      </c>
      <c r="G26" s="211">
        <v>520</v>
      </c>
      <c r="H26" s="212">
        <v>184463620</v>
      </c>
      <c r="I26" s="213">
        <v>184463620</v>
      </c>
      <c r="J26" s="216" t="s">
        <v>550</v>
      </c>
      <c r="K26" s="263" t="s">
        <v>55</v>
      </c>
      <c r="L26" s="306">
        <v>24</v>
      </c>
      <c r="M26" s="306">
        <v>24</v>
      </c>
      <c r="N26" s="271"/>
    </row>
    <row r="27" spans="1:14" s="84" customFormat="1" ht="48" customHeight="1" thickTop="1" thickBot="1" x14ac:dyDescent="0.25">
      <c r="A27" s="210" t="s">
        <v>2523</v>
      </c>
      <c r="B27" s="627" t="s">
        <v>2522</v>
      </c>
      <c r="C27" s="600" t="s">
        <v>53</v>
      </c>
      <c r="D27" s="600">
        <v>2</v>
      </c>
      <c r="E27" s="600">
        <v>30</v>
      </c>
      <c r="F27" s="600">
        <v>3</v>
      </c>
      <c r="G27" s="600">
        <v>520</v>
      </c>
      <c r="H27" s="604">
        <v>2512672209</v>
      </c>
      <c r="I27" s="606">
        <v>1199984172</v>
      </c>
      <c r="J27" s="427" t="s">
        <v>551</v>
      </c>
      <c r="K27" s="602" t="s">
        <v>81</v>
      </c>
      <c r="L27" s="610">
        <v>17</v>
      </c>
      <c r="M27" s="610">
        <v>5</v>
      </c>
      <c r="N27" s="271"/>
    </row>
    <row r="28" spans="1:14" s="84" customFormat="1" ht="18" customHeight="1" thickTop="1" thickBot="1" x14ac:dyDescent="0.25">
      <c r="A28" s="611"/>
      <c r="B28" s="612"/>
      <c r="C28" s="612"/>
      <c r="D28" s="612"/>
      <c r="E28" s="612"/>
      <c r="F28" s="612"/>
      <c r="G28" s="612"/>
      <c r="H28" s="613"/>
      <c r="I28" s="614"/>
      <c r="J28" s="615"/>
      <c r="K28" s="616"/>
      <c r="L28" s="617"/>
      <c r="M28" s="617"/>
      <c r="N28" s="271"/>
    </row>
    <row r="29" spans="1:14" s="84" customFormat="1" ht="30" customHeight="1" thickTop="1" thickBot="1" x14ac:dyDescent="0.25">
      <c r="A29" s="639" t="s">
        <v>0</v>
      </c>
      <c r="B29" s="639" t="s">
        <v>1</v>
      </c>
      <c r="C29" s="639" t="s">
        <v>2569</v>
      </c>
      <c r="D29" s="636" t="s">
        <v>1961</v>
      </c>
      <c r="E29" s="637"/>
      <c r="F29" s="637"/>
      <c r="G29" s="638"/>
      <c r="H29" s="636" t="s">
        <v>3</v>
      </c>
      <c r="I29" s="637"/>
      <c r="J29" s="636" t="s">
        <v>1962</v>
      </c>
      <c r="K29" s="637"/>
      <c r="L29" s="637"/>
      <c r="M29" s="638"/>
      <c r="N29" s="271"/>
    </row>
    <row r="30" spans="1:14" s="84" customFormat="1" ht="34.5" customHeight="1" thickTop="1" thickBot="1" x14ac:dyDescent="0.25">
      <c r="A30" s="640"/>
      <c r="B30" s="640"/>
      <c r="C30" s="640"/>
      <c r="D30" s="209" t="s">
        <v>4</v>
      </c>
      <c r="E30" s="209" t="s">
        <v>5</v>
      </c>
      <c r="F30" s="209" t="s">
        <v>6</v>
      </c>
      <c r="G30" s="209" t="s">
        <v>7</v>
      </c>
      <c r="H30" s="209" t="s">
        <v>2</v>
      </c>
      <c r="I30" s="209" t="s">
        <v>3</v>
      </c>
      <c r="J30" s="209" t="s">
        <v>8</v>
      </c>
      <c r="K30" s="599" t="s">
        <v>9</v>
      </c>
      <c r="L30" s="599" t="s">
        <v>1963</v>
      </c>
      <c r="M30" s="599" t="s">
        <v>1964</v>
      </c>
      <c r="N30" s="271"/>
    </row>
    <row r="31" spans="1:14" s="49" customFormat="1" ht="53.25" customHeight="1" thickTop="1" thickBot="1" x14ac:dyDescent="0.3">
      <c r="A31" s="279" t="s">
        <v>2524</v>
      </c>
      <c r="B31" s="601" t="s">
        <v>2522</v>
      </c>
      <c r="C31" s="601" t="s">
        <v>18</v>
      </c>
      <c r="D31" s="601">
        <v>3</v>
      </c>
      <c r="E31" s="601">
        <v>30</v>
      </c>
      <c r="F31" s="601">
        <v>3</v>
      </c>
      <c r="G31" s="601">
        <v>848</v>
      </c>
      <c r="H31" s="605">
        <v>428243551</v>
      </c>
      <c r="I31" s="607">
        <v>427518100</v>
      </c>
      <c r="J31" s="280" t="s">
        <v>172</v>
      </c>
      <c r="K31" s="603" t="s">
        <v>20</v>
      </c>
      <c r="L31" s="320">
        <v>300</v>
      </c>
      <c r="M31" s="320">
        <v>300</v>
      </c>
      <c r="N31" s="272"/>
    </row>
    <row r="32" spans="1:14" s="49" customFormat="1" ht="48.75" customHeight="1" thickTop="1" thickBot="1" x14ac:dyDescent="0.3">
      <c r="A32" s="279" t="s">
        <v>2524</v>
      </c>
      <c r="B32" s="624" t="s">
        <v>2522</v>
      </c>
      <c r="C32" s="420" t="s">
        <v>53</v>
      </c>
      <c r="D32" s="211">
        <v>3</v>
      </c>
      <c r="E32" s="211">
        <v>30</v>
      </c>
      <c r="F32" s="211">
        <v>3</v>
      </c>
      <c r="G32" s="211">
        <v>520</v>
      </c>
      <c r="H32" s="212">
        <v>490000000</v>
      </c>
      <c r="I32" s="213">
        <v>201196960</v>
      </c>
      <c r="J32" s="216" t="s">
        <v>552</v>
      </c>
      <c r="K32" s="263" t="s">
        <v>55</v>
      </c>
      <c r="L32" s="306">
        <v>6</v>
      </c>
      <c r="M32" s="306">
        <v>2.5</v>
      </c>
      <c r="N32" s="272"/>
    </row>
    <row r="33" spans="1:14" s="49" customFormat="1" ht="48.75" customHeight="1" thickTop="1" thickBot="1" x14ac:dyDescent="0.3">
      <c r="A33" s="279" t="s">
        <v>2524</v>
      </c>
      <c r="B33" s="624" t="s">
        <v>2522</v>
      </c>
      <c r="C33" s="420" t="s">
        <v>53</v>
      </c>
      <c r="D33" s="211">
        <v>3</v>
      </c>
      <c r="E33" s="211">
        <v>30</v>
      </c>
      <c r="F33" s="211">
        <v>3</v>
      </c>
      <c r="G33" s="211">
        <v>520</v>
      </c>
      <c r="H33" s="212">
        <v>89234954</v>
      </c>
      <c r="I33" s="213">
        <v>60000000</v>
      </c>
      <c r="J33" s="216" t="s">
        <v>553</v>
      </c>
      <c r="K33" s="263" t="s">
        <v>25</v>
      </c>
      <c r="L33" s="306">
        <v>6</v>
      </c>
      <c r="M33" s="306">
        <v>4</v>
      </c>
      <c r="N33" s="272"/>
    </row>
    <row r="34" spans="1:14" s="49" customFormat="1" ht="48.75" customHeight="1" thickTop="1" thickBot="1" x14ac:dyDescent="0.3">
      <c r="A34" s="279" t="s">
        <v>2524</v>
      </c>
      <c r="B34" s="624" t="s">
        <v>2522</v>
      </c>
      <c r="C34" s="420" t="s">
        <v>53</v>
      </c>
      <c r="D34" s="211">
        <v>3</v>
      </c>
      <c r="E34" s="211">
        <v>30</v>
      </c>
      <c r="F34" s="211">
        <v>3</v>
      </c>
      <c r="G34" s="211">
        <v>520</v>
      </c>
      <c r="H34" s="212">
        <v>220000000</v>
      </c>
      <c r="I34" s="213">
        <v>128832000</v>
      </c>
      <c r="J34" s="216" t="s">
        <v>554</v>
      </c>
      <c r="K34" s="263" t="s">
        <v>11</v>
      </c>
      <c r="L34" s="306">
        <v>3385</v>
      </c>
      <c r="M34" s="306">
        <v>1982</v>
      </c>
      <c r="N34" s="272"/>
    </row>
    <row r="35" spans="1:14" s="49" customFormat="1" ht="48.75" customHeight="1" thickTop="1" thickBot="1" x14ac:dyDescent="0.3">
      <c r="A35" s="279" t="s">
        <v>2524</v>
      </c>
      <c r="B35" s="624" t="s">
        <v>2522</v>
      </c>
      <c r="C35" s="420" t="s">
        <v>53</v>
      </c>
      <c r="D35" s="211">
        <v>2</v>
      </c>
      <c r="E35" s="211">
        <v>30</v>
      </c>
      <c r="F35" s="211">
        <v>3</v>
      </c>
      <c r="G35" s="211">
        <v>580</v>
      </c>
      <c r="H35" s="212">
        <v>50000000</v>
      </c>
      <c r="I35" s="213">
        <v>10000000</v>
      </c>
      <c r="J35" s="216" t="s">
        <v>555</v>
      </c>
      <c r="K35" s="263" t="s">
        <v>157</v>
      </c>
      <c r="L35" s="306">
        <v>10</v>
      </c>
      <c r="M35" s="306">
        <v>2</v>
      </c>
      <c r="N35" s="272"/>
    </row>
    <row r="36" spans="1:14" s="49" customFormat="1" ht="48.75" customHeight="1" thickTop="1" thickBot="1" x14ac:dyDescent="0.3">
      <c r="A36" s="279" t="s">
        <v>2524</v>
      </c>
      <c r="B36" s="624" t="s">
        <v>2522</v>
      </c>
      <c r="C36" s="420" t="s">
        <v>53</v>
      </c>
      <c r="D36" s="211">
        <v>3</v>
      </c>
      <c r="E36" s="211">
        <v>30</v>
      </c>
      <c r="F36" s="211">
        <v>3</v>
      </c>
      <c r="G36" s="211">
        <v>590</v>
      </c>
      <c r="H36" s="212">
        <v>50000000</v>
      </c>
      <c r="I36" s="213">
        <v>10000000</v>
      </c>
      <c r="J36" s="216" t="s">
        <v>556</v>
      </c>
      <c r="K36" s="263" t="s">
        <v>25</v>
      </c>
      <c r="L36" s="306">
        <v>4</v>
      </c>
      <c r="M36" s="306">
        <v>1</v>
      </c>
      <c r="N36" s="272"/>
    </row>
    <row r="37" spans="1:14" s="49" customFormat="1" ht="48.75" customHeight="1" thickTop="1" thickBot="1" x14ac:dyDescent="0.3">
      <c r="A37" s="279" t="s">
        <v>2524</v>
      </c>
      <c r="B37" s="624" t="s">
        <v>2522</v>
      </c>
      <c r="C37" s="420" t="s">
        <v>53</v>
      </c>
      <c r="D37" s="211">
        <v>3</v>
      </c>
      <c r="E37" s="211">
        <v>30</v>
      </c>
      <c r="F37" s="211">
        <v>3</v>
      </c>
      <c r="G37" s="211">
        <v>590</v>
      </c>
      <c r="H37" s="212">
        <v>100000000</v>
      </c>
      <c r="I37" s="213">
        <v>27000000</v>
      </c>
      <c r="J37" s="216" t="s">
        <v>557</v>
      </c>
      <c r="K37" s="263" t="s">
        <v>55</v>
      </c>
      <c r="L37" s="306">
        <v>4</v>
      </c>
      <c r="M37" s="306">
        <v>1</v>
      </c>
      <c r="N37" s="272"/>
    </row>
    <row r="38" spans="1:14" s="54" customFormat="1" ht="16.5" thickTop="1" thickBot="1" x14ac:dyDescent="0.3">
      <c r="A38" s="85"/>
      <c r="B38" s="85"/>
      <c r="C38" s="86"/>
      <c r="D38" s="45"/>
      <c r="E38" s="45"/>
      <c r="F38" s="45"/>
      <c r="G38" s="45"/>
      <c r="H38" s="88"/>
      <c r="I38" s="88"/>
      <c r="J38" s="87"/>
      <c r="K38" s="46"/>
      <c r="L38" s="56"/>
      <c r="M38" s="56"/>
      <c r="N38" s="269"/>
    </row>
    <row r="39" spans="1:14" ht="30" customHeight="1" thickTop="1" thickBot="1" x14ac:dyDescent="0.3">
      <c r="A39" s="639" t="s">
        <v>1</v>
      </c>
      <c r="B39" s="639" t="s">
        <v>0</v>
      </c>
      <c r="C39" s="639" t="s">
        <v>2569</v>
      </c>
      <c r="D39" s="636" t="s">
        <v>1961</v>
      </c>
      <c r="E39" s="637"/>
      <c r="F39" s="637"/>
      <c r="G39" s="638"/>
      <c r="H39" s="636" t="s">
        <v>3</v>
      </c>
      <c r="I39" s="637"/>
      <c r="J39" s="636" t="s">
        <v>1962</v>
      </c>
      <c r="K39" s="637"/>
      <c r="L39" s="637"/>
      <c r="M39" s="638"/>
    </row>
    <row r="40" spans="1:14" ht="34.5" customHeight="1" thickTop="1" thickBot="1" x14ac:dyDescent="0.3">
      <c r="A40" s="640"/>
      <c r="B40" s="640"/>
      <c r="C40" s="640"/>
      <c r="D40" s="209" t="s">
        <v>4</v>
      </c>
      <c r="E40" s="209" t="s">
        <v>5</v>
      </c>
      <c r="F40" s="209" t="s">
        <v>6</v>
      </c>
      <c r="G40" s="209" t="s">
        <v>7</v>
      </c>
      <c r="H40" s="209" t="s">
        <v>2</v>
      </c>
      <c r="I40" s="209" t="s">
        <v>3</v>
      </c>
      <c r="J40" s="209" t="s">
        <v>8</v>
      </c>
      <c r="K40" s="261" t="s">
        <v>9</v>
      </c>
      <c r="L40" s="261" t="s">
        <v>1963</v>
      </c>
      <c r="M40" s="261" t="s">
        <v>1964</v>
      </c>
    </row>
    <row r="41" spans="1:14" s="49" customFormat="1" ht="48.75" customHeight="1" thickTop="1" thickBot="1" x14ac:dyDescent="0.3">
      <c r="A41" s="210" t="s">
        <v>2525</v>
      </c>
      <c r="B41" s="211" t="s">
        <v>2522</v>
      </c>
      <c r="C41" s="211" t="s">
        <v>18</v>
      </c>
      <c r="D41" s="211">
        <v>3</v>
      </c>
      <c r="E41" s="211">
        <v>30</v>
      </c>
      <c r="F41" s="211">
        <v>3</v>
      </c>
      <c r="G41" s="211">
        <v>848</v>
      </c>
      <c r="H41" s="212">
        <v>492132854</v>
      </c>
      <c r="I41" s="213">
        <v>386000500</v>
      </c>
      <c r="J41" s="216" t="s">
        <v>172</v>
      </c>
      <c r="K41" s="263" t="s">
        <v>20</v>
      </c>
      <c r="L41" s="306">
        <v>300</v>
      </c>
      <c r="M41" s="306">
        <v>235</v>
      </c>
      <c r="N41" s="272"/>
    </row>
    <row r="42" spans="1:14" s="49" customFormat="1" ht="48" customHeight="1" thickTop="1" thickBot="1" x14ac:dyDescent="0.3">
      <c r="A42" s="210" t="s">
        <v>2525</v>
      </c>
      <c r="B42" s="627" t="s">
        <v>2522</v>
      </c>
      <c r="C42" s="211" t="s">
        <v>53</v>
      </c>
      <c r="D42" s="211">
        <v>3</v>
      </c>
      <c r="E42" s="211">
        <v>30</v>
      </c>
      <c r="F42" s="211">
        <v>3</v>
      </c>
      <c r="G42" s="211">
        <v>520</v>
      </c>
      <c r="H42" s="212">
        <v>590000000</v>
      </c>
      <c r="I42" s="213">
        <v>0</v>
      </c>
      <c r="J42" s="216" t="s">
        <v>558</v>
      </c>
      <c r="K42" s="263" t="s">
        <v>55</v>
      </c>
      <c r="L42" s="306">
        <v>4</v>
      </c>
      <c r="M42" s="306">
        <v>0</v>
      </c>
      <c r="N42" s="272"/>
    </row>
    <row r="43" spans="1:14" s="49" customFormat="1" ht="48" customHeight="1" thickTop="1" thickBot="1" x14ac:dyDescent="0.3">
      <c r="A43" s="210" t="s">
        <v>2525</v>
      </c>
      <c r="B43" s="627" t="s">
        <v>2522</v>
      </c>
      <c r="C43" s="211" t="s">
        <v>53</v>
      </c>
      <c r="D43" s="211">
        <v>3</v>
      </c>
      <c r="E43" s="211">
        <v>30</v>
      </c>
      <c r="F43" s="211">
        <v>3</v>
      </c>
      <c r="G43" s="211">
        <v>520</v>
      </c>
      <c r="H43" s="212">
        <v>115000000</v>
      </c>
      <c r="I43" s="213"/>
      <c r="J43" s="216" t="s">
        <v>559</v>
      </c>
      <c r="K43" s="263" t="s">
        <v>25</v>
      </c>
      <c r="L43" s="306">
        <v>6</v>
      </c>
      <c r="M43" s="306">
        <v>0</v>
      </c>
      <c r="N43" s="272"/>
    </row>
    <row r="44" spans="1:14" s="49" customFormat="1" ht="48" customHeight="1" thickTop="1" thickBot="1" x14ac:dyDescent="0.3">
      <c r="A44" s="210" t="s">
        <v>2525</v>
      </c>
      <c r="B44" s="627" t="s">
        <v>2522</v>
      </c>
      <c r="C44" s="211" t="s">
        <v>53</v>
      </c>
      <c r="D44" s="211">
        <v>3</v>
      </c>
      <c r="E44" s="211">
        <v>30</v>
      </c>
      <c r="F44" s="211">
        <v>3</v>
      </c>
      <c r="G44" s="211">
        <v>520</v>
      </c>
      <c r="H44" s="212">
        <v>50000000</v>
      </c>
      <c r="I44" s="213">
        <v>29500000</v>
      </c>
      <c r="J44" s="216" t="s">
        <v>560</v>
      </c>
      <c r="K44" s="263" t="s">
        <v>11</v>
      </c>
      <c r="L44" s="306">
        <v>1250</v>
      </c>
      <c r="M44" s="306">
        <v>750</v>
      </c>
      <c r="N44" s="272"/>
    </row>
    <row r="45" spans="1:14" s="49" customFormat="1" ht="48" customHeight="1" thickTop="1" thickBot="1" x14ac:dyDescent="0.3">
      <c r="A45" s="210" t="s">
        <v>2525</v>
      </c>
      <c r="B45" s="627" t="s">
        <v>2522</v>
      </c>
      <c r="C45" s="211" t="s">
        <v>53</v>
      </c>
      <c r="D45" s="211">
        <v>3</v>
      </c>
      <c r="E45" s="211">
        <v>30</v>
      </c>
      <c r="F45" s="211">
        <v>3</v>
      </c>
      <c r="G45" s="211">
        <v>580</v>
      </c>
      <c r="H45" s="212">
        <v>15000000</v>
      </c>
      <c r="I45" s="213"/>
      <c r="J45" s="216" t="s">
        <v>561</v>
      </c>
      <c r="K45" s="263" t="s">
        <v>72</v>
      </c>
      <c r="L45" s="306">
        <v>10</v>
      </c>
      <c r="M45" s="306">
        <v>0</v>
      </c>
      <c r="N45" s="272"/>
    </row>
    <row r="46" spans="1:14" s="97" customFormat="1" ht="48" customHeight="1" thickTop="1" thickBot="1" x14ac:dyDescent="0.3">
      <c r="A46" s="210" t="s">
        <v>2525</v>
      </c>
      <c r="B46" s="627" t="s">
        <v>2522</v>
      </c>
      <c r="C46" s="211" t="s">
        <v>53</v>
      </c>
      <c r="D46" s="211">
        <v>3</v>
      </c>
      <c r="E46" s="211">
        <v>30</v>
      </c>
      <c r="F46" s="211">
        <v>3</v>
      </c>
      <c r="G46" s="211">
        <v>590</v>
      </c>
      <c r="H46" s="212">
        <v>378309994</v>
      </c>
      <c r="I46" s="213">
        <v>13200000</v>
      </c>
      <c r="J46" s="216" t="s">
        <v>562</v>
      </c>
      <c r="K46" s="263" t="s">
        <v>13</v>
      </c>
      <c r="L46" s="306">
        <v>20</v>
      </c>
      <c r="M46" s="306">
        <v>1</v>
      </c>
      <c r="N46" s="105"/>
    </row>
    <row r="47" spans="1:14" s="54" customFormat="1" ht="16.5" thickTop="1" thickBot="1" x14ac:dyDescent="0.3">
      <c r="A47" s="90"/>
      <c r="B47" s="89"/>
      <c r="C47" s="91"/>
      <c r="D47" s="93"/>
      <c r="E47" s="93"/>
      <c r="F47" s="93"/>
      <c r="G47" s="93"/>
      <c r="H47" s="94"/>
      <c r="I47" s="94"/>
      <c r="J47" s="92"/>
      <c r="K47" s="96"/>
      <c r="L47" s="95"/>
      <c r="M47" s="95"/>
      <c r="N47" s="269"/>
    </row>
    <row r="48" spans="1:14" ht="30" customHeight="1" thickTop="1" thickBot="1" x14ac:dyDescent="0.3">
      <c r="A48" s="639" t="s">
        <v>0</v>
      </c>
      <c r="B48" s="639" t="s">
        <v>1</v>
      </c>
      <c r="C48" s="639" t="s">
        <v>2569</v>
      </c>
      <c r="D48" s="636" t="s">
        <v>1961</v>
      </c>
      <c r="E48" s="637"/>
      <c r="F48" s="637"/>
      <c r="G48" s="638"/>
      <c r="H48" s="636" t="s">
        <v>3</v>
      </c>
      <c r="I48" s="637"/>
      <c r="J48" s="636" t="s">
        <v>1962</v>
      </c>
      <c r="K48" s="637"/>
      <c r="L48" s="637"/>
      <c r="M48" s="638"/>
    </row>
    <row r="49" spans="1:14" ht="34.5" customHeight="1" thickTop="1" thickBot="1" x14ac:dyDescent="0.3">
      <c r="A49" s="640"/>
      <c r="B49" s="640"/>
      <c r="C49" s="640"/>
      <c r="D49" s="209" t="s">
        <v>4</v>
      </c>
      <c r="E49" s="209" t="s">
        <v>5</v>
      </c>
      <c r="F49" s="209" t="s">
        <v>6</v>
      </c>
      <c r="G49" s="209" t="s">
        <v>7</v>
      </c>
      <c r="H49" s="209" t="s">
        <v>2</v>
      </c>
      <c r="I49" s="209" t="s">
        <v>3</v>
      </c>
      <c r="J49" s="209" t="s">
        <v>8</v>
      </c>
      <c r="K49" s="261" t="s">
        <v>9</v>
      </c>
      <c r="L49" s="261" t="s">
        <v>1963</v>
      </c>
      <c r="M49" s="261" t="s">
        <v>1964</v>
      </c>
    </row>
    <row r="50" spans="1:14" s="49" customFormat="1" ht="61.5" customHeight="1" thickTop="1" thickBot="1" x14ac:dyDescent="0.3">
      <c r="A50" s="211" t="s">
        <v>704</v>
      </c>
      <c r="B50" s="627" t="s">
        <v>2522</v>
      </c>
      <c r="C50" s="211" t="s">
        <v>105</v>
      </c>
      <c r="D50" s="211">
        <v>2</v>
      </c>
      <c r="E50" s="211">
        <v>30</v>
      </c>
      <c r="F50" s="211">
        <v>3</v>
      </c>
      <c r="G50" s="211">
        <v>540</v>
      </c>
      <c r="H50" s="212">
        <v>38000000</v>
      </c>
      <c r="I50" s="213">
        <v>22048000</v>
      </c>
      <c r="J50" s="216" t="s">
        <v>563</v>
      </c>
      <c r="K50" s="263" t="s">
        <v>17</v>
      </c>
      <c r="L50" s="306">
        <v>17</v>
      </c>
      <c r="M50" s="306">
        <v>9</v>
      </c>
      <c r="N50" s="272"/>
    </row>
    <row r="51" spans="1:14" s="49" customFormat="1" ht="51" customHeight="1" thickTop="1" thickBot="1" x14ac:dyDescent="0.3">
      <c r="A51" s="211" t="s">
        <v>704</v>
      </c>
      <c r="B51" s="627" t="s">
        <v>2522</v>
      </c>
      <c r="C51" s="211" t="s">
        <v>18</v>
      </c>
      <c r="D51" s="211">
        <v>2</v>
      </c>
      <c r="E51" s="211">
        <v>30</v>
      </c>
      <c r="F51" s="211">
        <v>3</v>
      </c>
      <c r="G51" s="211">
        <v>848</v>
      </c>
      <c r="H51" s="212">
        <f>324865966+1100000</f>
        <v>325965966</v>
      </c>
      <c r="I51" s="213">
        <f>314600000+110000</f>
        <v>314710000</v>
      </c>
      <c r="J51" s="216" t="s">
        <v>564</v>
      </c>
      <c r="K51" s="263" t="s">
        <v>20</v>
      </c>
      <c r="L51" s="306">
        <v>350</v>
      </c>
      <c r="M51" s="306">
        <v>286</v>
      </c>
      <c r="N51" s="272"/>
    </row>
    <row r="52" spans="1:14" s="49" customFormat="1" ht="72.75" customHeight="1" thickTop="1" thickBot="1" x14ac:dyDescent="0.3">
      <c r="A52" s="211" t="s">
        <v>704</v>
      </c>
      <c r="B52" s="627" t="s">
        <v>2522</v>
      </c>
      <c r="C52" s="211" t="s">
        <v>53</v>
      </c>
      <c r="D52" s="211">
        <v>2</v>
      </c>
      <c r="E52" s="211">
        <v>30</v>
      </c>
      <c r="F52" s="211">
        <v>3</v>
      </c>
      <c r="G52" s="211">
        <v>520</v>
      </c>
      <c r="H52" s="212">
        <v>477865865</v>
      </c>
      <c r="I52" s="213">
        <v>362238810</v>
      </c>
      <c r="J52" s="216" t="s">
        <v>565</v>
      </c>
      <c r="K52" s="263" t="s">
        <v>55</v>
      </c>
      <c r="L52" s="306">
        <v>7</v>
      </c>
      <c r="M52" s="306">
        <v>7</v>
      </c>
      <c r="N52" s="272"/>
    </row>
    <row r="53" spans="1:14" s="49" customFormat="1" ht="37.5" customHeight="1" thickTop="1" thickBot="1" x14ac:dyDescent="0.3">
      <c r="A53" s="211" t="s">
        <v>704</v>
      </c>
      <c r="B53" s="627" t="s">
        <v>2522</v>
      </c>
      <c r="C53" s="211" t="s">
        <v>440</v>
      </c>
      <c r="D53" s="211">
        <v>2</v>
      </c>
      <c r="E53" s="211">
        <v>30</v>
      </c>
      <c r="F53" s="211">
        <v>3</v>
      </c>
      <c r="G53" s="211">
        <v>520</v>
      </c>
      <c r="H53" s="212">
        <v>60000000</v>
      </c>
      <c r="I53" s="213">
        <v>42650000</v>
      </c>
      <c r="J53" s="216" t="s">
        <v>566</v>
      </c>
      <c r="K53" s="263" t="s">
        <v>11</v>
      </c>
      <c r="L53" s="306">
        <v>1200</v>
      </c>
      <c r="M53" s="306">
        <v>900</v>
      </c>
      <c r="N53" s="272"/>
    </row>
    <row r="54" spans="1:14" s="49" customFormat="1" ht="37.5" customHeight="1" thickTop="1" thickBot="1" x14ac:dyDescent="0.3">
      <c r="A54" s="211" t="s">
        <v>704</v>
      </c>
      <c r="B54" s="627" t="s">
        <v>2522</v>
      </c>
      <c r="C54" s="211" t="s">
        <v>440</v>
      </c>
      <c r="D54" s="211">
        <v>2</v>
      </c>
      <c r="E54" s="211">
        <v>30</v>
      </c>
      <c r="F54" s="211">
        <v>3</v>
      </c>
      <c r="G54" s="211">
        <v>520</v>
      </c>
      <c r="H54" s="212">
        <v>18664205</v>
      </c>
      <c r="I54" s="213">
        <v>0</v>
      </c>
      <c r="J54" s="216" t="s">
        <v>2111</v>
      </c>
      <c r="K54" s="263" t="s">
        <v>51</v>
      </c>
      <c r="L54" s="306">
        <v>2300</v>
      </c>
      <c r="M54" s="306">
        <v>0</v>
      </c>
      <c r="N54" s="272"/>
    </row>
    <row r="55" spans="1:14" s="49" customFormat="1" ht="37.5" customHeight="1" thickTop="1" thickBot="1" x14ac:dyDescent="0.3">
      <c r="A55" s="211" t="s">
        <v>704</v>
      </c>
      <c r="B55" s="627" t="s">
        <v>2522</v>
      </c>
      <c r="C55" s="211" t="s">
        <v>105</v>
      </c>
      <c r="D55" s="211">
        <v>2</v>
      </c>
      <c r="E55" s="211">
        <v>30</v>
      </c>
      <c r="F55" s="211">
        <v>3</v>
      </c>
      <c r="G55" s="211">
        <v>540</v>
      </c>
      <c r="H55" s="212">
        <f>1500000*12</f>
        <v>18000000</v>
      </c>
      <c r="I55" s="213">
        <v>0</v>
      </c>
      <c r="J55" s="216" t="s">
        <v>567</v>
      </c>
      <c r="K55" s="263" t="s">
        <v>188</v>
      </c>
      <c r="L55" s="306">
        <v>12</v>
      </c>
      <c r="M55" s="306">
        <v>0</v>
      </c>
      <c r="N55" s="272"/>
    </row>
    <row r="56" spans="1:14" s="49" customFormat="1" ht="37.5" customHeight="1" thickTop="1" thickBot="1" x14ac:dyDescent="0.3">
      <c r="A56" s="211" t="s">
        <v>704</v>
      </c>
      <c r="B56" s="627" t="s">
        <v>2522</v>
      </c>
      <c r="C56" s="211" t="s">
        <v>105</v>
      </c>
      <c r="D56" s="211">
        <v>2</v>
      </c>
      <c r="E56" s="211">
        <v>30</v>
      </c>
      <c r="F56" s="211">
        <v>3</v>
      </c>
      <c r="G56" s="211">
        <v>540</v>
      </c>
      <c r="H56" s="212">
        <v>38620000</v>
      </c>
      <c r="I56" s="213">
        <v>0</v>
      </c>
      <c r="J56" s="216" t="s">
        <v>568</v>
      </c>
      <c r="K56" s="263" t="s">
        <v>261</v>
      </c>
      <c r="L56" s="306">
        <v>200</v>
      </c>
      <c r="M56" s="306">
        <v>0</v>
      </c>
      <c r="N56" s="272"/>
    </row>
    <row r="57" spans="1:14" s="49" customFormat="1" ht="37.5" customHeight="1" thickTop="1" thickBot="1" x14ac:dyDescent="0.3">
      <c r="A57" s="211" t="s">
        <v>704</v>
      </c>
      <c r="B57" s="627" t="s">
        <v>2522</v>
      </c>
      <c r="C57" s="211" t="s">
        <v>105</v>
      </c>
      <c r="D57" s="211">
        <v>2</v>
      </c>
      <c r="E57" s="211">
        <v>30</v>
      </c>
      <c r="F57" s="211">
        <v>3</v>
      </c>
      <c r="G57" s="211">
        <v>540</v>
      </c>
      <c r="H57" s="212">
        <v>40000000</v>
      </c>
      <c r="I57" s="213">
        <v>0</v>
      </c>
      <c r="J57" s="216" t="s">
        <v>569</v>
      </c>
      <c r="K57" s="263" t="s">
        <v>44</v>
      </c>
      <c r="L57" s="306">
        <v>200</v>
      </c>
      <c r="M57" s="306">
        <v>0</v>
      </c>
      <c r="N57" s="272"/>
    </row>
    <row r="58" spans="1:14" s="49" customFormat="1" ht="37.5" customHeight="1" thickTop="1" thickBot="1" x14ac:dyDescent="0.3">
      <c r="A58" s="211" t="s">
        <v>704</v>
      </c>
      <c r="B58" s="627" t="s">
        <v>2522</v>
      </c>
      <c r="C58" s="211" t="s">
        <v>105</v>
      </c>
      <c r="D58" s="211">
        <v>2</v>
      </c>
      <c r="E58" s="211">
        <v>30</v>
      </c>
      <c r="F58" s="211">
        <v>3</v>
      </c>
      <c r="G58" s="211">
        <v>540</v>
      </c>
      <c r="H58" s="212">
        <f>4200000+7800000</f>
        <v>12000000</v>
      </c>
      <c r="I58" s="213">
        <v>0</v>
      </c>
      <c r="J58" s="216" t="s">
        <v>570</v>
      </c>
      <c r="K58" s="263" t="s">
        <v>193</v>
      </c>
      <c r="L58" s="306">
        <v>8</v>
      </c>
      <c r="M58" s="306">
        <v>0</v>
      </c>
      <c r="N58" s="272"/>
    </row>
    <row r="59" spans="1:14" s="49" customFormat="1" ht="37.5" customHeight="1" thickTop="1" thickBot="1" x14ac:dyDescent="0.3">
      <c r="A59" s="211" t="s">
        <v>704</v>
      </c>
      <c r="B59" s="627" t="s">
        <v>2522</v>
      </c>
      <c r="C59" s="211" t="s">
        <v>105</v>
      </c>
      <c r="D59" s="211">
        <v>2</v>
      </c>
      <c r="E59" s="211">
        <v>30</v>
      </c>
      <c r="F59" s="211">
        <v>3</v>
      </c>
      <c r="G59" s="211">
        <v>540</v>
      </c>
      <c r="H59" s="212">
        <v>6000000</v>
      </c>
      <c r="I59" s="213">
        <v>0</v>
      </c>
      <c r="J59" s="216" t="s">
        <v>571</v>
      </c>
      <c r="K59" s="263" t="s">
        <v>572</v>
      </c>
      <c r="L59" s="306">
        <v>13</v>
      </c>
      <c r="M59" s="306">
        <v>0</v>
      </c>
      <c r="N59" s="272"/>
    </row>
    <row r="60" spans="1:14" s="49" customFormat="1" ht="37.5" customHeight="1" thickTop="1" thickBot="1" x14ac:dyDescent="0.3">
      <c r="A60" s="211" t="s">
        <v>704</v>
      </c>
      <c r="B60" s="627" t="s">
        <v>2522</v>
      </c>
      <c r="C60" s="211" t="s">
        <v>105</v>
      </c>
      <c r="D60" s="211">
        <v>2</v>
      </c>
      <c r="E60" s="211">
        <v>30</v>
      </c>
      <c r="F60" s="211">
        <v>3</v>
      </c>
      <c r="G60" s="211">
        <v>540</v>
      </c>
      <c r="H60" s="212">
        <f>8105748+13520000</f>
        <v>21625748</v>
      </c>
      <c r="I60" s="213">
        <v>0</v>
      </c>
      <c r="J60" s="216" t="s">
        <v>573</v>
      </c>
      <c r="K60" s="263" t="s">
        <v>66</v>
      </c>
      <c r="L60" s="306">
        <v>10</v>
      </c>
      <c r="M60" s="306">
        <v>0</v>
      </c>
      <c r="N60" s="272"/>
    </row>
    <row r="61" spans="1:14" s="49" customFormat="1" ht="37.5" customHeight="1" thickTop="1" thickBot="1" x14ac:dyDescent="0.3">
      <c r="A61" s="211" t="s">
        <v>704</v>
      </c>
      <c r="B61" s="627" t="s">
        <v>2522</v>
      </c>
      <c r="C61" s="211" t="s">
        <v>440</v>
      </c>
      <c r="D61" s="211">
        <v>2</v>
      </c>
      <c r="E61" s="211">
        <v>30</v>
      </c>
      <c r="F61" s="211">
        <v>3</v>
      </c>
      <c r="G61" s="211">
        <v>590</v>
      </c>
      <c r="H61" s="212">
        <v>67811436</v>
      </c>
      <c r="I61" s="213">
        <v>0</v>
      </c>
      <c r="J61" s="216" t="s">
        <v>574</v>
      </c>
      <c r="K61" s="263" t="s">
        <v>13</v>
      </c>
      <c r="L61" s="306">
        <v>2</v>
      </c>
      <c r="M61" s="306">
        <v>0</v>
      </c>
      <c r="N61" s="272"/>
    </row>
    <row r="62" spans="1:14" s="54" customFormat="1" ht="16.5" thickTop="1" thickBot="1" x14ac:dyDescent="0.3">
      <c r="A62" s="98"/>
      <c r="B62" s="85"/>
      <c r="C62" s="99"/>
      <c r="D62" s="100"/>
      <c r="E62" s="100"/>
      <c r="F62" s="100"/>
      <c r="G62" s="100"/>
      <c r="H62" s="82"/>
      <c r="I62" s="82"/>
      <c r="J62" s="100"/>
      <c r="K62" s="100"/>
      <c r="L62" s="99"/>
      <c r="M62" s="99"/>
      <c r="N62" s="269"/>
    </row>
    <row r="63" spans="1:14" ht="30" customHeight="1" thickTop="1" thickBot="1" x14ac:dyDescent="0.3">
      <c r="A63" s="639" t="s">
        <v>0</v>
      </c>
      <c r="B63" s="639" t="s">
        <v>1</v>
      </c>
      <c r="C63" s="639" t="s">
        <v>2569</v>
      </c>
      <c r="D63" s="636" t="s">
        <v>1961</v>
      </c>
      <c r="E63" s="637"/>
      <c r="F63" s="637"/>
      <c r="G63" s="638"/>
      <c r="H63" s="636" t="s">
        <v>3</v>
      </c>
      <c r="I63" s="637"/>
      <c r="J63" s="636" t="s">
        <v>1962</v>
      </c>
      <c r="K63" s="637"/>
      <c r="L63" s="637"/>
      <c r="M63" s="638"/>
    </row>
    <row r="64" spans="1:14" ht="34.5" customHeight="1" thickTop="1" thickBot="1" x14ac:dyDescent="0.3">
      <c r="A64" s="640"/>
      <c r="B64" s="640"/>
      <c r="C64" s="640"/>
      <c r="D64" s="209" t="s">
        <v>4</v>
      </c>
      <c r="E64" s="209" t="s">
        <v>5</v>
      </c>
      <c r="F64" s="209" t="s">
        <v>6</v>
      </c>
      <c r="G64" s="209" t="s">
        <v>7</v>
      </c>
      <c r="H64" s="209" t="s">
        <v>2</v>
      </c>
      <c r="I64" s="209" t="s">
        <v>3</v>
      </c>
      <c r="J64" s="209" t="s">
        <v>8</v>
      </c>
      <c r="K64" s="261" t="s">
        <v>9</v>
      </c>
      <c r="L64" s="261" t="s">
        <v>1963</v>
      </c>
      <c r="M64" s="261" t="s">
        <v>1964</v>
      </c>
    </row>
    <row r="65" spans="1:14" s="73" customFormat="1" ht="46.5" thickTop="1" thickBot="1" x14ac:dyDescent="0.25">
      <c r="A65" s="211" t="s">
        <v>705</v>
      </c>
      <c r="B65" s="627" t="s">
        <v>2522</v>
      </c>
      <c r="C65" s="211" t="s">
        <v>18</v>
      </c>
      <c r="D65" s="211">
        <v>3</v>
      </c>
      <c r="E65" s="211">
        <v>30</v>
      </c>
      <c r="F65" s="211">
        <v>3</v>
      </c>
      <c r="G65" s="211">
        <v>848</v>
      </c>
      <c r="H65" s="212">
        <v>781566153</v>
      </c>
      <c r="I65" s="213">
        <v>537124650</v>
      </c>
      <c r="J65" s="216" t="s">
        <v>575</v>
      </c>
      <c r="K65" s="263" t="s">
        <v>20</v>
      </c>
      <c r="L65" s="306" t="e">
        <f>+#REF!</f>
        <v>#REF!</v>
      </c>
      <c r="M65" s="306">
        <v>406</v>
      </c>
      <c r="N65" s="273"/>
    </row>
    <row r="66" spans="1:14" s="73" customFormat="1" ht="46.5" thickTop="1" thickBot="1" x14ac:dyDescent="0.25">
      <c r="A66" s="211" t="s">
        <v>705</v>
      </c>
      <c r="B66" s="627" t="s">
        <v>2522</v>
      </c>
      <c r="C66" s="211" t="s">
        <v>53</v>
      </c>
      <c r="D66" s="211">
        <v>3</v>
      </c>
      <c r="E66" s="211">
        <v>30</v>
      </c>
      <c r="F66" s="211">
        <v>3</v>
      </c>
      <c r="G66" s="211">
        <v>520</v>
      </c>
      <c r="H66" s="212">
        <v>1672654357</v>
      </c>
      <c r="I66" s="213">
        <v>888518200</v>
      </c>
      <c r="J66" s="216" t="s">
        <v>576</v>
      </c>
      <c r="K66" s="263" t="s">
        <v>55</v>
      </c>
      <c r="L66" s="306" t="e">
        <f>+#REF!</f>
        <v>#REF!</v>
      </c>
      <c r="M66" s="306">
        <v>4</v>
      </c>
      <c r="N66" s="273"/>
    </row>
    <row r="67" spans="1:14" s="73" customFormat="1" ht="48" customHeight="1" thickTop="1" thickBot="1" x14ac:dyDescent="0.25">
      <c r="A67" s="211" t="s">
        <v>705</v>
      </c>
      <c r="B67" s="627" t="s">
        <v>2522</v>
      </c>
      <c r="C67" s="211" t="s">
        <v>105</v>
      </c>
      <c r="D67" s="211">
        <v>3</v>
      </c>
      <c r="E67" s="211">
        <v>30</v>
      </c>
      <c r="F67" s="211">
        <v>3</v>
      </c>
      <c r="G67" s="211">
        <v>530</v>
      </c>
      <c r="H67" s="212">
        <v>136000000</v>
      </c>
      <c r="I67" s="213">
        <v>135950000</v>
      </c>
      <c r="J67" s="216" t="s">
        <v>577</v>
      </c>
      <c r="K67" s="263" t="s">
        <v>578</v>
      </c>
      <c r="L67" s="306">
        <v>432</v>
      </c>
      <c r="M67" s="306">
        <v>432</v>
      </c>
      <c r="N67" s="273"/>
    </row>
    <row r="68" spans="1:14" s="73" customFormat="1" ht="56.25" customHeight="1" thickTop="1" thickBot="1" x14ac:dyDescent="0.25">
      <c r="A68" s="211" t="s">
        <v>705</v>
      </c>
      <c r="B68" s="627" t="s">
        <v>2522</v>
      </c>
      <c r="C68" s="211" t="s">
        <v>440</v>
      </c>
      <c r="D68" s="211">
        <v>3</v>
      </c>
      <c r="E68" s="211">
        <v>30</v>
      </c>
      <c r="F68" s="211">
        <v>3</v>
      </c>
      <c r="G68" s="211">
        <v>985</v>
      </c>
      <c r="H68" s="212">
        <v>15000000</v>
      </c>
      <c r="I68" s="213">
        <v>0</v>
      </c>
      <c r="J68" s="216" t="s">
        <v>2112</v>
      </c>
      <c r="K68" s="263" t="s">
        <v>16</v>
      </c>
      <c r="L68" s="306">
        <v>1</v>
      </c>
      <c r="M68" s="306">
        <v>0</v>
      </c>
      <c r="N68" s="273"/>
    </row>
    <row r="69" spans="1:14" s="54" customFormat="1" ht="16.5" thickTop="1" thickBot="1" x14ac:dyDescent="0.3">
      <c r="A69" s="98"/>
      <c r="B69" s="85"/>
      <c r="C69" s="45"/>
      <c r="D69" s="46"/>
      <c r="E69" s="46"/>
      <c r="F69" s="46"/>
      <c r="G69" s="46"/>
      <c r="H69" s="82"/>
      <c r="I69" s="82"/>
      <c r="J69" s="87"/>
      <c r="K69" s="46"/>
      <c r="L69" s="48"/>
      <c r="M69" s="48"/>
      <c r="N69" s="269"/>
    </row>
    <row r="70" spans="1:14" ht="30" customHeight="1" thickTop="1" thickBot="1" x14ac:dyDescent="0.3">
      <c r="A70" s="639" t="s">
        <v>0</v>
      </c>
      <c r="B70" s="639" t="s">
        <v>1</v>
      </c>
      <c r="C70" s="639" t="s">
        <v>2569</v>
      </c>
      <c r="D70" s="636" t="s">
        <v>1961</v>
      </c>
      <c r="E70" s="637"/>
      <c r="F70" s="637"/>
      <c r="G70" s="638"/>
      <c r="H70" s="636" t="s">
        <v>3</v>
      </c>
      <c r="I70" s="637"/>
      <c r="J70" s="636" t="s">
        <v>1962</v>
      </c>
      <c r="K70" s="637"/>
      <c r="L70" s="637"/>
      <c r="M70" s="638"/>
    </row>
    <row r="71" spans="1:14" ht="34.5" customHeight="1" thickTop="1" thickBot="1" x14ac:dyDescent="0.3">
      <c r="A71" s="661"/>
      <c r="B71" s="661"/>
      <c r="C71" s="661"/>
      <c r="D71" s="261" t="s">
        <v>4</v>
      </c>
      <c r="E71" s="261" t="s">
        <v>5</v>
      </c>
      <c r="F71" s="261" t="s">
        <v>6</v>
      </c>
      <c r="G71" s="261" t="s">
        <v>7</v>
      </c>
      <c r="H71" s="261" t="s">
        <v>2</v>
      </c>
      <c r="I71" s="261" t="s">
        <v>3</v>
      </c>
      <c r="J71" s="261" t="s">
        <v>8</v>
      </c>
      <c r="K71" s="261" t="s">
        <v>9</v>
      </c>
      <c r="L71" s="261" t="s">
        <v>1963</v>
      </c>
      <c r="M71" s="261" t="s">
        <v>1964</v>
      </c>
    </row>
    <row r="72" spans="1:14" s="73" customFormat="1" ht="60" customHeight="1" thickTop="1" thickBot="1" x14ac:dyDescent="0.25">
      <c r="A72" s="210" t="s">
        <v>707</v>
      </c>
      <c r="B72" s="627" t="s">
        <v>2522</v>
      </c>
      <c r="C72" s="645" t="s">
        <v>18</v>
      </c>
      <c r="D72" s="671">
        <v>2</v>
      </c>
      <c r="E72" s="671">
        <v>30</v>
      </c>
      <c r="F72" s="671">
        <v>3</v>
      </c>
      <c r="G72" s="421">
        <v>848</v>
      </c>
      <c r="H72" s="421">
        <f>570087654-117000000</f>
        <v>453087654</v>
      </c>
      <c r="I72" s="421">
        <f>92880000+92880000+134676000+92880000+27864000</f>
        <v>441180000</v>
      </c>
      <c r="J72" s="334" t="s">
        <v>579</v>
      </c>
      <c r="K72" s="263" t="s">
        <v>20</v>
      </c>
      <c r="L72" s="263">
        <v>360</v>
      </c>
      <c r="M72" s="263">
        <v>360</v>
      </c>
      <c r="N72" s="273"/>
    </row>
    <row r="73" spans="1:14" s="73" customFormat="1" ht="62.25" customHeight="1" thickTop="1" thickBot="1" x14ac:dyDescent="0.25">
      <c r="A73" s="210" t="s">
        <v>707</v>
      </c>
      <c r="B73" s="627" t="s">
        <v>2522</v>
      </c>
      <c r="C73" s="646"/>
      <c r="D73" s="671"/>
      <c r="E73" s="671"/>
      <c r="F73" s="671"/>
      <c r="G73" s="421">
        <v>848</v>
      </c>
      <c r="H73" s="421">
        <v>117000000</v>
      </c>
      <c r="I73" s="421">
        <v>117000000</v>
      </c>
      <c r="J73" s="334" t="s">
        <v>580</v>
      </c>
      <c r="K73" s="263" t="s">
        <v>75</v>
      </c>
      <c r="L73" s="263">
        <v>34200</v>
      </c>
      <c r="M73" s="263">
        <v>34200</v>
      </c>
      <c r="N73" s="273"/>
    </row>
    <row r="74" spans="1:14" s="73" customFormat="1" ht="50.25" customHeight="1" thickTop="1" thickBot="1" x14ac:dyDescent="0.25">
      <c r="A74" s="279" t="s">
        <v>707</v>
      </c>
      <c r="B74" s="627" t="s">
        <v>2522</v>
      </c>
      <c r="C74" s="408" t="s">
        <v>179</v>
      </c>
      <c r="D74" s="408">
        <v>2</v>
      </c>
      <c r="E74" s="408">
        <v>30</v>
      </c>
      <c r="F74" s="408">
        <v>3</v>
      </c>
      <c r="G74" s="408">
        <v>520</v>
      </c>
      <c r="H74" s="410">
        <v>0</v>
      </c>
      <c r="I74" s="411">
        <v>0</v>
      </c>
      <c r="J74" s="280" t="s">
        <v>581</v>
      </c>
      <c r="K74" s="308" t="s">
        <v>55</v>
      </c>
      <c r="L74" s="320">
        <v>1</v>
      </c>
      <c r="M74" s="320">
        <v>0</v>
      </c>
      <c r="N74" s="273"/>
    </row>
    <row r="75" spans="1:14" s="73" customFormat="1" ht="53.25" customHeight="1" thickTop="1" thickBot="1" x14ac:dyDescent="0.25">
      <c r="A75" s="210" t="s">
        <v>707</v>
      </c>
      <c r="B75" s="627" t="s">
        <v>2522</v>
      </c>
      <c r="C75" s="420" t="s">
        <v>179</v>
      </c>
      <c r="D75" s="420">
        <v>2</v>
      </c>
      <c r="E75" s="420">
        <v>30</v>
      </c>
      <c r="F75" s="420">
        <v>3</v>
      </c>
      <c r="G75" s="420">
        <v>520</v>
      </c>
      <c r="H75" s="212">
        <f>474916547+45208200</f>
        <v>520124747</v>
      </c>
      <c r="I75" s="213">
        <f>142474965+90234144+90234143+90234144+20000000+25117072+16622079</f>
        <v>474916547</v>
      </c>
      <c r="J75" s="216" t="s">
        <v>582</v>
      </c>
      <c r="K75" s="263" t="s">
        <v>55</v>
      </c>
      <c r="L75" s="306">
        <v>5</v>
      </c>
      <c r="M75" s="306">
        <v>5</v>
      </c>
      <c r="N75" s="273"/>
    </row>
    <row r="76" spans="1:14" s="73" customFormat="1" ht="57.75" thickTop="1" thickBot="1" x14ac:dyDescent="0.25">
      <c r="A76" s="210" t="s">
        <v>707</v>
      </c>
      <c r="B76" s="627" t="s">
        <v>2522</v>
      </c>
      <c r="C76" s="420" t="s">
        <v>179</v>
      </c>
      <c r="D76" s="420">
        <v>2</v>
      </c>
      <c r="E76" s="420">
        <v>30</v>
      </c>
      <c r="F76" s="420">
        <v>3</v>
      </c>
      <c r="G76" s="420">
        <v>520</v>
      </c>
      <c r="H76" s="212">
        <v>108575775</v>
      </c>
      <c r="I76" s="213">
        <v>108575775</v>
      </c>
      <c r="J76" s="216" t="s">
        <v>583</v>
      </c>
      <c r="K76" s="263" t="s">
        <v>13</v>
      </c>
      <c r="L76" s="306">
        <v>2</v>
      </c>
      <c r="M76" s="306">
        <v>0</v>
      </c>
      <c r="N76" s="273"/>
    </row>
    <row r="77" spans="1:14" s="73" customFormat="1" ht="46.5" thickTop="1" thickBot="1" x14ac:dyDescent="0.25">
      <c r="A77" s="210" t="s">
        <v>707</v>
      </c>
      <c r="B77" s="627" t="s">
        <v>2522</v>
      </c>
      <c r="C77" s="420" t="s">
        <v>179</v>
      </c>
      <c r="D77" s="420">
        <v>2</v>
      </c>
      <c r="E77" s="420">
        <v>30</v>
      </c>
      <c r="F77" s="420">
        <v>3</v>
      </c>
      <c r="G77" s="420">
        <v>520</v>
      </c>
      <c r="H77" s="212">
        <v>128091926</v>
      </c>
      <c r="I77" s="213">
        <v>128091926</v>
      </c>
      <c r="J77" s="216" t="s">
        <v>584</v>
      </c>
      <c r="K77" s="263" t="s">
        <v>55</v>
      </c>
      <c r="L77" s="306">
        <v>2</v>
      </c>
      <c r="M77" s="306">
        <v>0</v>
      </c>
      <c r="N77" s="273"/>
    </row>
    <row r="78" spans="1:14" s="73" customFormat="1" ht="48.75" customHeight="1" thickTop="1" thickBot="1" x14ac:dyDescent="0.25">
      <c r="A78" s="210" t="s">
        <v>707</v>
      </c>
      <c r="B78" s="627" t="s">
        <v>2522</v>
      </c>
      <c r="C78" s="420" t="s">
        <v>179</v>
      </c>
      <c r="D78" s="420">
        <v>2</v>
      </c>
      <c r="E78" s="420">
        <v>30</v>
      </c>
      <c r="F78" s="420">
        <v>3</v>
      </c>
      <c r="G78" s="420">
        <v>520</v>
      </c>
      <c r="H78" s="212">
        <v>108575775</v>
      </c>
      <c r="I78" s="213">
        <v>108575775</v>
      </c>
      <c r="J78" s="216" t="s">
        <v>585</v>
      </c>
      <c r="K78" s="263" t="s">
        <v>13</v>
      </c>
      <c r="L78" s="306">
        <v>2</v>
      </c>
      <c r="M78" s="306">
        <v>0</v>
      </c>
      <c r="N78" s="273"/>
    </row>
    <row r="79" spans="1:14" s="73" customFormat="1" ht="48.75" customHeight="1" thickTop="1" thickBot="1" x14ac:dyDescent="0.25">
      <c r="A79" s="210" t="s">
        <v>707</v>
      </c>
      <c r="B79" s="627" t="s">
        <v>2522</v>
      </c>
      <c r="C79" s="420" t="s">
        <v>179</v>
      </c>
      <c r="D79" s="420">
        <v>2</v>
      </c>
      <c r="E79" s="420">
        <v>30</v>
      </c>
      <c r="F79" s="420">
        <v>3</v>
      </c>
      <c r="G79" s="420">
        <v>520</v>
      </c>
      <c r="H79" s="212">
        <v>79228000</v>
      </c>
      <c r="I79" s="213">
        <v>79228000</v>
      </c>
      <c r="J79" s="216" t="s">
        <v>586</v>
      </c>
      <c r="K79" s="263" t="s">
        <v>13</v>
      </c>
      <c r="L79" s="306">
        <v>2</v>
      </c>
      <c r="M79" s="306">
        <v>0</v>
      </c>
      <c r="N79" s="273"/>
    </row>
    <row r="80" spans="1:14" s="73" customFormat="1" ht="48.75" customHeight="1" thickTop="1" thickBot="1" x14ac:dyDescent="0.25">
      <c r="A80" s="210" t="s">
        <v>707</v>
      </c>
      <c r="B80" s="627" t="s">
        <v>2522</v>
      </c>
      <c r="C80" s="420" t="s">
        <v>179</v>
      </c>
      <c r="D80" s="420">
        <v>2</v>
      </c>
      <c r="E80" s="420">
        <v>30</v>
      </c>
      <c r="F80" s="420">
        <v>3</v>
      </c>
      <c r="G80" s="420">
        <v>520</v>
      </c>
      <c r="H80" s="212">
        <v>69056440</v>
      </c>
      <c r="I80" s="213">
        <v>69056440</v>
      </c>
      <c r="J80" s="216" t="s">
        <v>587</v>
      </c>
      <c r="K80" s="263" t="s">
        <v>55</v>
      </c>
      <c r="L80" s="306">
        <v>1</v>
      </c>
      <c r="M80" s="306">
        <v>0</v>
      </c>
      <c r="N80" s="273"/>
    </row>
    <row r="81" spans="1:14" s="73" customFormat="1" ht="57.75" thickTop="1" thickBot="1" x14ac:dyDescent="0.25">
      <c r="A81" s="210" t="s">
        <v>707</v>
      </c>
      <c r="B81" s="627" t="s">
        <v>2522</v>
      </c>
      <c r="C81" s="420" t="s">
        <v>179</v>
      </c>
      <c r="D81" s="420">
        <v>2</v>
      </c>
      <c r="E81" s="420">
        <v>30</v>
      </c>
      <c r="F81" s="420">
        <v>3</v>
      </c>
      <c r="G81" s="420">
        <v>520</v>
      </c>
      <c r="H81" s="212">
        <v>158038520</v>
      </c>
      <c r="I81" s="213">
        <f>47411556+15013660+30027660+15013659+22520489+22520489+5531007</f>
        <v>158038520</v>
      </c>
      <c r="J81" s="216" t="s">
        <v>588</v>
      </c>
      <c r="K81" s="263" t="s">
        <v>25</v>
      </c>
      <c r="L81" s="306">
        <v>4</v>
      </c>
      <c r="M81" s="306">
        <v>4</v>
      </c>
      <c r="N81" s="273"/>
    </row>
    <row r="82" spans="1:14" s="73" customFormat="1" ht="53.25" customHeight="1" thickTop="1" thickBot="1" x14ac:dyDescent="0.25">
      <c r="A82" s="210" t="s">
        <v>707</v>
      </c>
      <c r="B82" s="627" t="s">
        <v>2522</v>
      </c>
      <c r="C82" s="420" t="s">
        <v>179</v>
      </c>
      <c r="D82" s="420">
        <v>2</v>
      </c>
      <c r="E82" s="420">
        <v>30</v>
      </c>
      <c r="F82" s="420">
        <v>3</v>
      </c>
      <c r="G82" s="420">
        <v>520</v>
      </c>
      <c r="H82" s="212">
        <v>56082051</v>
      </c>
      <c r="I82" s="213">
        <f>21030769+35051282</f>
        <v>56082051</v>
      </c>
      <c r="J82" s="216" t="s">
        <v>589</v>
      </c>
      <c r="K82" s="263" t="s">
        <v>13</v>
      </c>
      <c r="L82" s="306">
        <v>1</v>
      </c>
      <c r="M82" s="306">
        <v>1</v>
      </c>
      <c r="N82" s="273"/>
    </row>
    <row r="83" spans="1:14" s="73" customFormat="1" ht="46.5" customHeight="1" thickTop="1" thickBot="1" x14ac:dyDescent="0.25">
      <c r="A83" s="210" t="s">
        <v>707</v>
      </c>
      <c r="B83" s="627" t="s">
        <v>2522</v>
      </c>
      <c r="C83" s="420" t="s">
        <v>179</v>
      </c>
      <c r="D83" s="420">
        <v>2</v>
      </c>
      <c r="E83" s="420">
        <v>30</v>
      </c>
      <c r="F83" s="420">
        <v>3</v>
      </c>
      <c r="G83" s="420">
        <v>520</v>
      </c>
      <c r="H83" s="212">
        <v>22431293</v>
      </c>
      <c r="I83" s="213">
        <v>22431293</v>
      </c>
      <c r="J83" s="216" t="s">
        <v>590</v>
      </c>
      <c r="K83" s="263" t="s">
        <v>25</v>
      </c>
      <c r="L83" s="306">
        <v>1</v>
      </c>
      <c r="M83" s="306">
        <v>1</v>
      </c>
      <c r="N83" s="273"/>
    </row>
    <row r="84" spans="1:14" s="73" customFormat="1" ht="47.25" customHeight="1" thickTop="1" thickBot="1" x14ac:dyDescent="0.25">
      <c r="A84" s="210" t="s">
        <v>707</v>
      </c>
      <c r="B84" s="627" t="s">
        <v>2522</v>
      </c>
      <c r="C84" s="420" t="s">
        <v>105</v>
      </c>
      <c r="D84" s="420">
        <v>2</v>
      </c>
      <c r="E84" s="420">
        <v>30</v>
      </c>
      <c r="F84" s="420">
        <v>3</v>
      </c>
      <c r="G84" s="420">
        <v>540</v>
      </c>
      <c r="H84" s="212">
        <v>80000000</v>
      </c>
      <c r="I84" s="213">
        <v>79245000</v>
      </c>
      <c r="J84" s="216" t="s">
        <v>706</v>
      </c>
      <c r="K84" s="263" t="s">
        <v>17</v>
      </c>
      <c r="L84" s="306">
        <v>541</v>
      </c>
      <c r="M84" s="306">
        <v>541</v>
      </c>
      <c r="N84" s="273"/>
    </row>
    <row r="85" spans="1:14" s="106" customFormat="1" ht="14.25" thickTop="1" thickBot="1" x14ac:dyDescent="0.25">
      <c r="A85" s="105"/>
      <c r="B85" s="97"/>
      <c r="C85" s="68"/>
      <c r="D85" s="68"/>
      <c r="E85" s="68"/>
      <c r="F85" s="68"/>
      <c r="G85" s="68"/>
      <c r="H85" s="68"/>
      <c r="I85" s="68"/>
      <c r="J85" s="68"/>
      <c r="K85" s="68"/>
      <c r="L85" s="68"/>
      <c r="M85" s="68"/>
      <c r="N85" s="274"/>
    </row>
    <row r="86" spans="1:14" s="73" customFormat="1" ht="30" customHeight="1" thickTop="1" thickBot="1" x14ac:dyDescent="0.25">
      <c r="A86" s="639" t="s">
        <v>0</v>
      </c>
      <c r="B86" s="639" t="s">
        <v>1</v>
      </c>
      <c r="C86" s="639" t="s">
        <v>2569</v>
      </c>
      <c r="D86" s="636" t="s">
        <v>1961</v>
      </c>
      <c r="E86" s="637"/>
      <c r="F86" s="637"/>
      <c r="G86" s="638"/>
      <c r="H86" s="636" t="s">
        <v>3</v>
      </c>
      <c r="I86" s="637"/>
      <c r="J86" s="636" t="s">
        <v>1962</v>
      </c>
      <c r="K86" s="637"/>
      <c r="L86" s="637"/>
      <c r="M86" s="638"/>
      <c r="N86" s="273"/>
    </row>
    <row r="87" spans="1:14" s="73" customFormat="1" ht="34.5" customHeight="1" thickTop="1" thickBot="1" x14ac:dyDescent="0.25">
      <c r="A87" s="640"/>
      <c r="B87" s="640"/>
      <c r="C87" s="640"/>
      <c r="D87" s="209" t="s">
        <v>4</v>
      </c>
      <c r="E87" s="209" t="s">
        <v>5</v>
      </c>
      <c r="F87" s="209" t="s">
        <v>6</v>
      </c>
      <c r="G87" s="209" t="s">
        <v>7</v>
      </c>
      <c r="H87" s="209" t="s">
        <v>2</v>
      </c>
      <c r="I87" s="209" t="s">
        <v>3</v>
      </c>
      <c r="J87" s="209" t="s">
        <v>8</v>
      </c>
      <c r="K87" s="261" t="s">
        <v>9</v>
      </c>
      <c r="L87" s="261" t="s">
        <v>1963</v>
      </c>
      <c r="M87" s="261" t="s">
        <v>1964</v>
      </c>
      <c r="N87" s="273"/>
    </row>
    <row r="88" spans="1:14" s="73" customFormat="1" ht="46.5" thickTop="1" thickBot="1" x14ac:dyDescent="0.25">
      <c r="A88" s="210" t="s">
        <v>708</v>
      </c>
      <c r="B88" s="627" t="s">
        <v>2522</v>
      </c>
      <c r="C88" s="211" t="s">
        <v>18</v>
      </c>
      <c r="D88" s="211">
        <v>2</v>
      </c>
      <c r="E88" s="211">
        <v>30</v>
      </c>
      <c r="F88" s="211">
        <v>3</v>
      </c>
      <c r="G88" s="211">
        <v>848</v>
      </c>
      <c r="H88" s="212">
        <v>259358913</v>
      </c>
      <c r="I88" s="213">
        <v>251020000</v>
      </c>
      <c r="J88" s="216" t="s">
        <v>591</v>
      </c>
      <c r="K88" s="421" t="s">
        <v>20</v>
      </c>
      <c r="L88" s="306">
        <v>498</v>
      </c>
      <c r="M88" s="306">
        <v>490</v>
      </c>
      <c r="N88" s="273"/>
    </row>
    <row r="89" spans="1:14" s="73" customFormat="1" ht="48" customHeight="1" thickTop="1" thickBot="1" x14ac:dyDescent="0.25">
      <c r="A89" s="210" t="s">
        <v>708</v>
      </c>
      <c r="B89" s="627" t="s">
        <v>2522</v>
      </c>
      <c r="C89" s="211" t="s">
        <v>53</v>
      </c>
      <c r="D89" s="211">
        <v>2</v>
      </c>
      <c r="E89" s="211">
        <v>30</v>
      </c>
      <c r="F89" s="211">
        <v>3</v>
      </c>
      <c r="G89" s="211">
        <v>520</v>
      </c>
      <c r="H89" s="212">
        <f>605170796-H90-H91</f>
        <v>477495030</v>
      </c>
      <c r="I89" s="213">
        <v>375256534</v>
      </c>
      <c r="J89" s="216" t="s">
        <v>592</v>
      </c>
      <c r="K89" s="421" t="s">
        <v>55</v>
      </c>
      <c r="L89" s="306">
        <v>5</v>
      </c>
      <c r="M89" s="306">
        <v>3</v>
      </c>
      <c r="N89" s="273"/>
    </row>
    <row r="90" spans="1:14" s="73" customFormat="1" ht="48" customHeight="1" thickTop="1" thickBot="1" x14ac:dyDescent="0.25">
      <c r="A90" s="210" t="s">
        <v>708</v>
      </c>
      <c r="B90" s="627" t="s">
        <v>2522</v>
      </c>
      <c r="C90" s="211" t="s">
        <v>53</v>
      </c>
      <c r="D90" s="211">
        <v>2</v>
      </c>
      <c r="E90" s="211">
        <v>30</v>
      </c>
      <c r="F90" s="211">
        <v>3</v>
      </c>
      <c r="G90" s="211">
        <v>520</v>
      </c>
      <c r="H90" s="212">
        <v>72464624</v>
      </c>
      <c r="I90" s="213">
        <f>H90</f>
        <v>72464624</v>
      </c>
      <c r="J90" s="216" t="s">
        <v>593</v>
      </c>
      <c r="K90" s="421" t="s">
        <v>103</v>
      </c>
      <c r="L90" s="306">
        <v>1</v>
      </c>
      <c r="M90" s="306">
        <v>1</v>
      </c>
      <c r="N90" s="273"/>
    </row>
    <row r="91" spans="1:14" s="73" customFormat="1" ht="48" customHeight="1" thickTop="1" thickBot="1" x14ac:dyDescent="0.25">
      <c r="A91" s="210" t="s">
        <v>708</v>
      </c>
      <c r="B91" s="627" t="s">
        <v>2522</v>
      </c>
      <c r="C91" s="211" t="s">
        <v>53</v>
      </c>
      <c r="D91" s="211">
        <v>2</v>
      </c>
      <c r="E91" s="211">
        <v>30</v>
      </c>
      <c r="F91" s="211">
        <v>3</v>
      </c>
      <c r="G91" s="211">
        <v>520</v>
      </c>
      <c r="H91" s="212">
        <v>55211142</v>
      </c>
      <c r="I91" s="213">
        <f>H91</f>
        <v>55211142</v>
      </c>
      <c r="J91" s="216" t="s">
        <v>594</v>
      </c>
      <c r="K91" s="421" t="s">
        <v>595</v>
      </c>
      <c r="L91" s="306">
        <v>1</v>
      </c>
      <c r="M91" s="306">
        <v>1</v>
      </c>
      <c r="N91" s="273"/>
    </row>
    <row r="92" spans="1:14" s="54" customFormat="1" ht="16.5" thickTop="1" thickBot="1" x14ac:dyDescent="0.3">
      <c r="A92" s="98"/>
      <c r="B92" s="85"/>
      <c r="C92" s="101"/>
      <c r="D92" s="103"/>
      <c r="E92" s="103"/>
      <c r="F92" s="103"/>
      <c r="G92" s="103"/>
      <c r="H92" s="104"/>
      <c r="I92" s="104"/>
      <c r="J92" s="102"/>
      <c r="K92" s="103"/>
      <c r="L92" s="103"/>
      <c r="M92" s="103"/>
      <c r="N92" s="269"/>
    </row>
    <row r="93" spans="1:14" s="83" customFormat="1" ht="30" customHeight="1" thickTop="1" thickBot="1" x14ac:dyDescent="0.3">
      <c r="A93" s="639" t="s">
        <v>0</v>
      </c>
      <c r="B93" s="639" t="s">
        <v>1</v>
      </c>
      <c r="C93" s="639" t="s">
        <v>2569</v>
      </c>
      <c r="D93" s="636" t="s">
        <v>1961</v>
      </c>
      <c r="E93" s="637"/>
      <c r="F93" s="637"/>
      <c r="G93" s="638"/>
      <c r="H93" s="636" t="s">
        <v>3</v>
      </c>
      <c r="I93" s="637"/>
      <c r="J93" s="636" t="s">
        <v>1962</v>
      </c>
      <c r="K93" s="637"/>
      <c r="L93" s="637"/>
      <c r="M93" s="638"/>
      <c r="N93" s="270"/>
    </row>
    <row r="94" spans="1:14" s="83" customFormat="1" ht="34.5" customHeight="1" thickTop="1" thickBot="1" x14ac:dyDescent="0.3">
      <c r="A94" s="640"/>
      <c r="B94" s="640"/>
      <c r="C94" s="640"/>
      <c r="D94" s="209" t="s">
        <v>4</v>
      </c>
      <c r="E94" s="209" t="s">
        <v>5</v>
      </c>
      <c r="F94" s="209" t="s">
        <v>6</v>
      </c>
      <c r="G94" s="209" t="s">
        <v>7</v>
      </c>
      <c r="H94" s="209" t="s">
        <v>2</v>
      </c>
      <c r="I94" s="209" t="s">
        <v>3</v>
      </c>
      <c r="J94" s="209" t="s">
        <v>8</v>
      </c>
      <c r="K94" s="261" t="s">
        <v>9</v>
      </c>
      <c r="L94" s="261" t="s">
        <v>1963</v>
      </c>
      <c r="M94" s="261" t="s">
        <v>1964</v>
      </c>
      <c r="N94" s="270"/>
    </row>
    <row r="95" spans="1:14" s="73" customFormat="1" ht="46.5" thickTop="1" thickBot="1" x14ac:dyDescent="0.25">
      <c r="A95" s="210" t="s">
        <v>2526</v>
      </c>
      <c r="B95" s="211" t="s">
        <v>2522</v>
      </c>
      <c r="C95" s="649" t="s">
        <v>18</v>
      </c>
      <c r="D95" s="211">
        <v>2</v>
      </c>
      <c r="E95" s="211">
        <v>30</v>
      </c>
      <c r="F95" s="211">
        <v>3</v>
      </c>
      <c r="G95" s="211">
        <v>848</v>
      </c>
      <c r="H95" s="212">
        <v>162476649</v>
      </c>
      <c r="I95" s="213">
        <v>162204000</v>
      </c>
      <c r="J95" s="216" t="s">
        <v>596</v>
      </c>
      <c r="K95" s="263" t="s">
        <v>20</v>
      </c>
      <c r="L95" s="306">
        <v>414</v>
      </c>
      <c r="M95" s="306">
        <v>414</v>
      </c>
      <c r="N95" s="273"/>
    </row>
    <row r="96" spans="1:14" s="73" customFormat="1" ht="42" customHeight="1" thickTop="1" thickBot="1" x14ac:dyDescent="0.25">
      <c r="A96" s="210" t="s">
        <v>2526</v>
      </c>
      <c r="B96" s="627" t="s">
        <v>2522</v>
      </c>
      <c r="C96" s="650"/>
      <c r="D96" s="211">
        <v>2</v>
      </c>
      <c r="E96" s="211">
        <v>30</v>
      </c>
      <c r="F96" s="211">
        <v>3</v>
      </c>
      <c r="G96" s="211">
        <v>960</v>
      </c>
      <c r="H96" s="212">
        <v>98000000</v>
      </c>
      <c r="I96" s="213">
        <v>0</v>
      </c>
      <c r="J96" s="216" t="s">
        <v>597</v>
      </c>
      <c r="K96" s="263" t="s">
        <v>16</v>
      </c>
      <c r="L96" s="306">
        <v>1</v>
      </c>
      <c r="M96" s="306">
        <v>0</v>
      </c>
      <c r="N96" s="273"/>
    </row>
    <row r="97" spans="1:14" s="73" customFormat="1" ht="57.75" thickTop="1" thickBot="1" x14ac:dyDescent="0.25">
      <c r="A97" s="210" t="s">
        <v>2526</v>
      </c>
      <c r="B97" s="627" t="s">
        <v>2522</v>
      </c>
      <c r="C97" s="211" t="s">
        <v>53</v>
      </c>
      <c r="D97" s="211">
        <v>2</v>
      </c>
      <c r="E97" s="211">
        <v>30</v>
      </c>
      <c r="F97" s="211">
        <v>3</v>
      </c>
      <c r="G97" s="211">
        <v>520</v>
      </c>
      <c r="H97" s="212">
        <v>98000000</v>
      </c>
      <c r="I97" s="213">
        <v>95000000</v>
      </c>
      <c r="J97" s="216" t="s">
        <v>598</v>
      </c>
      <c r="K97" s="263" t="s">
        <v>55</v>
      </c>
      <c r="L97" s="306">
        <v>2</v>
      </c>
      <c r="M97" s="306">
        <v>1</v>
      </c>
      <c r="N97" s="273"/>
    </row>
    <row r="98" spans="1:14" s="73" customFormat="1" ht="46.5" thickTop="1" thickBot="1" x14ac:dyDescent="0.25">
      <c r="A98" s="210" t="s">
        <v>2526</v>
      </c>
      <c r="B98" s="627" t="s">
        <v>2522</v>
      </c>
      <c r="C98" s="211" t="s">
        <v>53</v>
      </c>
      <c r="D98" s="211">
        <v>2</v>
      </c>
      <c r="E98" s="211">
        <v>30</v>
      </c>
      <c r="F98" s="211">
        <v>3</v>
      </c>
      <c r="G98" s="211">
        <v>520</v>
      </c>
      <c r="H98" s="212">
        <v>76689328</v>
      </c>
      <c r="I98" s="213">
        <v>0</v>
      </c>
      <c r="J98" s="216" t="s">
        <v>599</v>
      </c>
      <c r="K98" s="263" t="s">
        <v>103</v>
      </c>
      <c r="L98" s="306">
        <v>1</v>
      </c>
      <c r="M98" s="306">
        <v>0</v>
      </c>
      <c r="N98" s="273"/>
    </row>
    <row r="99" spans="1:14" s="73" customFormat="1" ht="39" customHeight="1" thickTop="1" thickBot="1" x14ac:dyDescent="0.25">
      <c r="A99" s="210" t="s">
        <v>2526</v>
      </c>
      <c r="B99" s="627" t="s">
        <v>2522</v>
      </c>
      <c r="C99" s="211" t="s">
        <v>90</v>
      </c>
      <c r="D99" s="211">
        <v>2</v>
      </c>
      <c r="E99" s="211">
        <v>30</v>
      </c>
      <c r="F99" s="211">
        <v>3</v>
      </c>
      <c r="G99" s="211">
        <v>520</v>
      </c>
      <c r="H99" s="212">
        <v>0</v>
      </c>
      <c r="I99" s="213">
        <v>0</v>
      </c>
      <c r="J99" s="216" t="s">
        <v>600</v>
      </c>
      <c r="K99" s="263" t="s">
        <v>71</v>
      </c>
      <c r="L99" s="306">
        <v>40</v>
      </c>
      <c r="M99" s="306">
        <v>0</v>
      </c>
      <c r="N99" s="273"/>
    </row>
    <row r="100" spans="1:14" s="73" customFormat="1" ht="60" customHeight="1" thickTop="1" thickBot="1" x14ac:dyDescent="0.25">
      <c r="A100" s="210" t="s">
        <v>2526</v>
      </c>
      <c r="B100" s="627" t="s">
        <v>2522</v>
      </c>
      <c r="C100" s="211" t="s">
        <v>90</v>
      </c>
      <c r="D100" s="211">
        <v>2</v>
      </c>
      <c r="E100" s="211">
        <v>30</v>
      </c>
      <c r="F100" s="211">
        <v>3</v>
      </c>
      <c r="G100" s="211">
        <v>520</v>
      </c>
      <c r="H100" s="212">
        <v>140000000</v>
      </c>
      <c r="I100" s="213">
        <v>140000000</v>
      </c>
      <c r="J100" s="216" t="s">
        <v>601</v>
      </c>
      <c r="K100" s="263" t="s">
        <v>11</v>
      </c>
      <c r="L100" s="306">
        <v>1792</v>
      </c>
      <c r="M100" s="306">
        <v>1792</v>
      </c>
      <c r="N100" s="273"/>
    </row>
    <row r="101" spans="1:14" s="73" customFormat="1" ht="36.75" customHeight="1" thickTop="1" thickBot="1" x14ac:dyDescent="0.25">
      <c r="A101" s="210" t="s">
        <v>2526</v>
      </c>
      <c r="B101" s="627" t="s">
        <v>2522</v>
      </c>
      <c r="C101" s="211" t="s">
        <v>602</v>
      </c>
      <c r="D101" s="211">
        <v>2</v>
      </c>
      <c r="E101" s="211">
        <v>30</v>
      </c>
      <c r="F101" s="211">
        <v>3</v>
      </c>
      <c r="G101" s="211">
        <v>540</v>
      </c>
      <c r="H101" s="212">
        <v>100000000</v>
      </c>
      <c r="I101" s="213">
        <v>98000000</v>
      </c>
      <c r="J101" s="216" t="s">
        <v>603</v>
      </c>
      <c r="K101" s="263" t="s">
        <v>604</v>
      </c>
      <c r="L101" s="306">
        <v>300</v>
      </c>
      <c r="M101" s="306">
        <v>288</v>
      </c>
      <c r="N101" s="273"/>
    </row>
    <row r="102" spans="1:14" s="73" customFormat="1" ht="48" customHeight="1" thickTop="1" thickBot="1" x14ac:dyDescent="0.25">
      <c r="A102" s="210" t="s">
        <v>2526</v>
      </c>
      <c r="B102" s="627" t="s">
        <v>2522</v>
      </c>
      <c r="C102" s="211" t="s">
        <v>53</v>
      </c>
      <c r="D102" s="211">
        <v>2</v>
      </c>
      <c r="E102" s="211">
        <v>30</v>
      </c>
      <c r="F102" s="211">
        <v>3</v>
      </c>
      <c r="G102" s="211">
        <v>980</v>
      </c>
      <c r="H102" s="212">
        <v>59000000</v>
      </c>
      <c r="I102" s="213">
        <v>0</v>
      </c>
      <c r="J102" s="216" t="s">
        <v>605</v>
      </c>
      <c r="K102" s="263" t="s">
        <v>16</v>
      </c>
      <c r="L102" s="306">
        <v>1</v>
      </c>
      <c r="M102" s="306">
        <v>0</v>
      </c>
      <c r="N102" s="273"/>
    </row>
    <row r="103" spans="1:14" s="54" customFormat="1" ht="16.5" thickTop="1" thickBot="1" x14ac:dyDescent="0.3">
      <c r="A103" s="98"/>
      <c r="B103" s="85"/>
      <c r="C103" s="107"/>
      <c r="D103" s="109"/>
      <c r="E103" s="109"/>
      <c r="F103" s="109"/>
      <c r="G103" s="109"/>
      <c r="H103" s="110"/>
      <c r="I103" s="110"/>
      <c r="J103" s="108"/>
      <c r="K103" s="109"/>
      <c r="L103" s="111"/>
      <c r="M103" s="112"/>
      <c r="N103" s="269"/>
    </row>
    <row r="104" spans="1:14" s="73" customFormat="1" ht="30" customHeight="1" thickTop="1" thickBot="1" x14ac:dyDescent="0.25">
      <c r="A104" s="639" t="s">
        <v>0</v>
      </c>
      <c r="B104" s="639" t="s">
        <v>1</v>
      </c>
      <c r="C104" s="639" t="s">
        <v>2569</v>
      </c>
      <c r="D104" s="636" t="s">
        <v>1961</v>
      </c>
      <c r="E104" s="637"/>
      <c r="F104" s="637"/>
      <c r="G104" s="638"/>
      <c r="H104" s="636" t="s">
        <v>3</v>
      </c>
      <c r="I104" s="637"/>
      <c r="J104" s="636" t="s">
        <v>1962</v>
      </c>
      <c r="K104" s="637"/>
      <c r="L104" s="637"/>
      <c r="M104" s="638"/>
      <c r="N104" s="273"/>
    </row>
    <row r="105" spans="1:14" s="73" customFormat="1" ht="34.5" customHeight="1" thickTop="1" thickBot="1" x14ac:dyDescent="0.25">
      <c r="A105" s="640"/>
      <c r="B105" s="640"/>
      <c r="C105" s="640"/>
      <c r="D105" s="209" t="s">
        <v>4</v>
      </c>
      <c r="E105" s="209" t="s">
        <v>5</v>
      </c>
      <c r="F105" s="209" t="s">
        <v>6</v>
      </c>
      <c r="G105" s="209" t="s">
        <v>7</v>
      </c>
      <c r="H105" s="209" t="s">
        <v>2</v>
      </c>
      <c r="I105" s="209" t="s">
        <v>3</v>
      </c>
      <c r="J105" s="209" t="s">
        <v>8</v>
      </c>
      <c r="K105" s="261" t="s">
        <v>9</v>
      </c>
      <c r="L105" s="261" t="s">
        <v>1963</v>
      </c>
      <c r="M105" s="261" t="s">
        <v>1964</v>
      </c>
      <c r="N105" s="273"/>
    </row>
    <row r="106" spans="1:14" s="73" customFormat="1" ht="46.5" thickTop="1" thickBot="1" x14ac:dyDescent="0.25">
      <c r="A106" s="211" t="s">
        <v>1982</v>
      </c>
      <c r="B106" s="211" t="s">
        <v>2522</v>
      </c>
      <c r="C106" s="211" t="s">
        <v>18</v>
      </c>
      <c r="D106" s="211">
        <v>3</v>
      </c>
      <c r="E106" s="211">
        <v>30</v>
      </c>
      <c r="F106" s="211">
        <v>3</v>
      </c>
      <c r="G106" s="211">
        <v>848</v>
      </c>
      <c r="H106" s="212">
        <v>653649235</v>
      </c>
      <c r="I106" s="213">
        <v>391325858</v>
      </c>
      <c r="J106" s="216" t="s">
        <v>607</v>
      </c>
      <c r="K106" s="263" t="s">
        <v>20</v>
      </c>
      <c r="L106" s="306">
        <v>348</v>
      </c>
      <c r="M106" s="306">
        <v>220</v>
      </c>
      <c r="N106" s="273"/>
    </row>
    <row r="107" spans="1:14" s="73" customFormat="1" ht="49.5" customHeight="1" thickTop="1" thickBot="1" x14ac:dyDescent="0.25">
      <c r="A107" s="211" t="s">
        <v>1982</v>
      </c>
      <c r="B107" s="627" t="s">
        <v>2522</v>
      </c>
      <c r="C107" s="211" t="s">
        <v>53</v>
      </c>
      <c r="D107" s="211">
        <v>3</v>
      </c>
      <c r="E107" s="211">
        <v>30</v>
      </c>
      <c r="F107" s="211">
        <v>3</v>
      </c>
      <c r="G107" s="211">
        <v>520</v>
      </c>
      <c r="H107" s="212">
        <v>86900263</v>
      </c>
      <c r="I107" s="213">
        <v>86900263</v>
      </c>
      <c r="J107" s="216" t="s">
        <v>608</v>
      </c>
      <c r="K107" s="263" t="s">
        <v>55</v>
      </c>
      <c r="L107" s="306">
        <v>1</v>
      </c>
      <c r="M107" s="306">
        <v>1</v>
      </c>
      <c r="N107" s="273"/>
    </row>
    <row r="108" spans="1:14" s="73" customFormat="1" ht="49.5" customHeight="1" thickTop="1" thickBot="1" x14ac:dyDescent="0.25">
      <c r="A108" s="211" t="s">
        <v>1982</v>
      </c>
      <c r="B108" s="627" t="s">
        <v>2522</v>
      </c>
      <c r="C108" s="211" t="s">
        <v>53</v>
      </c>
      <c r="D108" s="211">
        <v>3</v>
      </c>
      <c r="E108" s="211">
        <v>30</v>
      </c>
      <c r="F108" s="211">
        <v>3</v>
      </c>
      <c r="G108" s="211">
        <v>520</v>
      </c>
      <c r="H108" s="212">
        <v>125832613</v>
      </c>
      <c r="I108" s="213">
        <v>125832613</v>
      </c>
      <c r="J108" s="216" t="s">
        <v>609</v>
      </c>
      <c r="K108" s="263" t="s">
        <v>55</v>
      </c>
      <c r="L108" s="306">
        <v>1</v>
      </c>
      <c r="M108" s="306">
        <v>1</v>
      </c>
      <c r="N108" s="273"/>
    </row>
    <row r="109" spans="1:14" s="73" customFormat="1" ht="49.5" customHeight="1" thickTop="1" thickBot="1" x14ac:dyDescent="0.25">
      <c r="A109" s="211" t="s">
        <v>1982</v>
      </c>
      <c r="B109" s="627" t="s">
        <v>2522</v>
      </c>
      <c r="C109" s="211" t="s">
        <v>53</v>
      </c>
      <c r="D109" s="211">
        <v>3</v>
      </c>
      <c r="E109" s="211">
        <v>30</v>
      </c>
      <c r="F109" s="211">
        <v>3</v>
      </c>
      <c r="G109" s="211">
        <v>520</v>
      </c>
      <c r="H109" s="212">
        <v>121349110</v>
      </c>
      <c r="I109" s="213">
        <v>121349110</v>
      </c>
      <c r="J109" s="216" t="s">
        <v>610</v>
      </c>
      <c r="K109" s="263" t="s">
        <v>368</v>
      </c>
      <c r="L109" s="306">
        <v>1</v>
      </c>
      <c r="M109" s="306">
        <v>1</v>
      </c>
      <c r="N109" s="273"/>
    </row>
    <row r="110" spans="1:14" s="73" customFormat="1" ht="49.5" customHeight="1" thickTop="1" thickBot="1" x14ac:dyDescent="0.25">
      <c r="A110" s="211" t="s">
        <v>1982</v>
      </c>
      <c r="B110" s="627" t="s">
        <v>2522</v>
      </c>
      <c r="C110" s="211" t="s">
        <v>53</v>
      </c>
      <c r="D110" s="211">
        <v>3</v>
      </c>
      <c r="E110" s="211">
        <v>30</v>
      </c>
      <c r="F110" s="211">
        <v>3</v>
      </c>
      <c r="G110" s="211">
        <v>520</v>
      </c>
      <c r="H110" s="212">
        <v>121738241</v>
      </c>
      <c r="I110" s="213">
        <v>121738241</v>
      </c>
      <c r="J110" s="216" t="s">
        <v>611</v>
      </c>
      <c r="K110" s="263" t="s">
        <v>368</v>
      </c>
      <c r="L110" s="306">
        <v>1</v>
      </c>
      <c r="M110" s="306">
        <v>1</v>
      </c>
      <c r="N110" s="273"/>
    </row>
    <row r="111" spans="1:14" s="73" customFormat="1" ht="49.5" customHeight="1" thickTop="1" thickBot="1" x14ac:dyDescent="0.25">
      <c r="A111" s="211" t="s">
        <v>1982</v>
      </c>
      <c r="B111" s="627" t="s">
        <v>2522</v>
      </c>
      <c r="C111" s="211" t="s">
        <v>53</v>
      </c>
      <c r="D111" s="211">
        <v>3</v>
      </c>
      <c r="E111" s="211">
        <v>30</v>
      </c>
      <c r="F111" s="211">
        <v>3</v>
      </c>
      <c r="G111" s="211">
        <v>520</v>
      </c>
      <c r="H111" s="212">
        <v>99117680</v>
      </c>
      <c r="I111" s="213">
        <v>99117680</v>
      </c>
      <c r="J111" s="216" t="s">
        <v>612</v>
      </c>
      <c r="K111" s="263" t="s">
        <v>55</v>
      </c>
      <c r="L111" s="306">
        <v>1</v>
      </c>
      <c r="M111" s="306">
        <v>1</v>
      </c>
      <c r="N111" s="273"/>
    </row>
    <row r="112" spans="1:14" s="73" customFormat="1" ht="49.5" customHeight="1" thickTop="1" thickBot="1" x14ac:dyDescent="0.25">
      <c r="A112" s="211" t="s">
        <v>1982</v>
      </c>
      <c r="B112" s="627" t="s">
        <v>2522</v>
      </c>
      <c r="C112" s="211" t="s">
        <v>53</v>
      </c>
      <c r="D112" s="211">
        <v>3</v>
      </c>
      <c r="E112" s="211">
        <v>30</v>
      </c>
      <c r="F112" s="211">
        <v>3</v>
      </c>
      <c r="G112" s="211">
        <v>520</v>
      </c>
      <c r="H112" s="212">
        <v>909848457</v>
      </c>
      <c r="I112" s="213">
        <v>0</v>
      </c>
      <c r="J112" s="216" t="s">
        <v>613</v>
      </c>
      <c r="K112" s="263" t="s">
        <v>55</v>
      </c>
      <c r="L112" s="306">
        <v>10</v>
      </c>
      <c r="M112" s="306">
        <v>0</v>
      </c>
      <c r="N112" s="273"/>
    </row>
    <row r="113" spans="1:14" s="73" customFormat="1" ht="40.5" customHeight="1" thickTop="1" thickBot="1" x14ac:dyDescent="0.25">
      <c r="A113" s="211" t="s">
        <v>1982</v>
      </c>
      <c r="B113" s="627" t="s">
        <v>2522</v>
      </c>
      <c r="C113" s="211" t="s">
        <v>105</v>
      </c>
      <c r="D113" s="211">
        <v>3</v>
      </c>
      <c r="E113" s="211">
        <v>30</v>
      </c>
      <c r="F113" s="211">
        <v>3</v>
      </c>
      <c r="G113" s="211">
        <v>540</v>
      </c>
      <c r="H113" s="212">
        <v>27000000</v>
      </c>
      <c r="I113" s="213">
        <v>27000000</v>
      </c>
      <c r="J113" s="216" t="s">
        <v>615</v>
      </c>
      <c r="K113" s="263" t="s">
        <v>746</v>
      </c>
      <c r="L113" s="306">
        <v>100</v>
      </c>
      <c r="M113" s="306">
        <v>100</v>
      </c>
      <c r="N113" s="273"/>
    </row>
    <row r="114" spans="1:14" s="73" customFormat="1" ht="46.5" thickTop="1" thickBot="1" x14ac:dyDescent="0.25">
      <c r="A114" s="211" t="s">
        <v>1982</v>
      </c>
      <c r="B114" s="627" t="s">
        <v>2522</v>
      </c>
      <c r="C114" s="211" t="s">
        <v>53</v>
      </c>
      <c r="D114" s="211">
        <v>2</v>
      </c>
      <c r="E114" s="211">
        <v>30</v>
      </c>
      <c r="F114" s="211">
        <v>3</v>
      </c>
      <c r="G114" s="211">
        <v>980</v>
      </c>
      <c r="H114" s="212">
        <v>33395183</v>
      </c>
      <c r="I114" s="213">
        <v>0</v>
      </c>
      <c r="J114" s="216" t="s">
        <v>606</v>
      </c>
      <c r="K114" s="263" t="s">
        <v>16</v>
      </c>
      <c r="L114" s="306">
        <v>3</v>
      </c>
      <c r="M114" s="306">
        <v>0</v>
      </c>
      <c r="N114" s="273"/>
    </row>
    <row r="115" spans="1:14" s="54" customFormat="1" ht="16.5" thickTop="1" thickBot="1" x14ac:dyDescent="0.3">
      <c r="A115" s="114"/>
      <c r="B115" s="113"/>
      <c r="C115" s="51"/>
      <c r="D115" s="52"/>
      <c r="E115" s="52"/>
      <c r="F115" s="52"/>
      <c r="G115" s="52"/>
      <c r="H115" s="116"/>
      <c r="I115" s="116"/>
      <c r="J115" s="115"/>
      <c r="K115" s="52"/>
      <c r="L115" s="117"/>
      <c r="M115" s="117"/>
      <c r="N115" s="269"/>
    </row>
    <row r="116" spans="1:14" s="73" customFormat="1" ht="30" customHeight="1" thickTop="1" thickBot="1" x14ac:dyDescent="0.25">
      <c r="A116" s="639" t="s">
        <v>0</v>
      </c>
      <c r="B116" s="639" t="s">
        <v>1</v>
      </c>
      <c r="C116" s="639" t="s">
        <v>2569</v>
      </c>
      <c r="D116" s="636" t="s">
        <v>1961</v>
      </c>
      <c r="E116" s="637"/>
      <c r="F116" s="637"/>
      <c r="G116" s="638"/>
      <c r="H116" s="636" t="s">
        <v>3</v>
      </c>
      <c r="I116" s="637"/>
      <c r="J116" s="636" t="s">
        <v>1962</v>
      </c>
      <c r="K116" s="637"/>
      <c r="L116" s="637"/>
      <c r="M116" s="638"/>
      <c r="N116" s="273"/>
    </row>
    <row r="117" spans="1:14" s="73" customFormat="1" ht="34.5" customHeight="1" thickTop="1" thickBot="1" x14ac:dyDescent="0.25">
      <c r="A117" s="640"/>
      <c r="B117" s="640"/>
      <c r="C117" s="640"/>
      <c r="D117" s="209" t="s">
        <v>4</v>
      </c>
      <c r="E117" s="209" t="s">
        <v>5</v>
      </c>
      <c r="F117" s="209" t="s">
        <v>6</v>
      </c>
      <c r="G117" s="209" t="s">
        <v>7</v>
      </c>
      <c r="H117" s="209" t="s">
        <v>2</v>
      </c>
      <c r="I117" s="209" t="s">
        <v>3</v>
      </c>
      <c r="J117" s="209" t="s">
        <v>8</v>
      </c>
      <c r="K117" s="261" t="s">
        <v>9</v>
      </c>
      <c r="L117" s="261" t="s">
        <v>1963</v>
      </c>
      <c r="M117" s="261" t="s">
        <v>1964</v>
      </c>
      <c r="N117" s="273"/>
    </row>
    <row r="118" spans="1:14" s="84" customFormat="1" ht="47.25" customHeight="1" thickTop="1" thickBot="1" x14ac:dyDescent="0.25">
      <c r="A118" s="210" t="s">
        <v>2527</v>
      </c>
      <c r="B118" s="211" t="s">
        <v>2522</v>
      </c>
      <c r="C118" s="211" t="s">
        <v>18</v>
      </c>
      <c r="D118" s="211">
        <v>3</v>
      </c>
      <c r="E118" s="211">
        <v>30</v>
      </c>
      <c r="F118" s="211">
        <v>3</v>
      </c>
      <c r="G118" s="211">
        <v>848</v>
      </c>
      <c r="H118" s="212">
        <v>664504067</v>
      </c>
      <c r="I118" s="213">
        <v>293474140</v>
      </c>
      <c r="J118" s="216" t="s">
        <v>616</v>
      </c>
      <c r="K118" s="263" t="s">
        <v>20</v>
      </c>
      <c r="L118" s="306">
        <v>600</v>
      </c>
      <c r="M118" s="306">
        <v>270</v>
      </c>
      <c r="N118" s="271"/>
    </row>
    <row r="119" spans="1:14" s="84" customFormat="1" ht="48" customHeight="1" thickTop="1" thickBot="1" x14ac:dyDescent="0.25">
      <c r="A119" s="210" t="s">
        <v>2527</v>
      </c>
      <c r="B119" s="627" t="s">
        <v>2522</v>
      </c>
      <c r="C119" s="420" t="s">
        <v>53</v>
      </c>
      <c r="D119" s="211">
        <v>2</v>
      </c>
      <c r="E119" s="211">
        <v>30</v>
      </c>
      <c r="F119" s="211">
        <v>3</v>
      </c>
      <c r="G119" s="211">
        <v>520</v>
      </c>
      <c r="H119" s="212">
        <v>134000000</v>
      </c>
      <c r="I119" s="213">
        <v>134000000</v>
      </c>
      <c r="J119" s="216" t="s">
        <v>617</v>
      </c>
      <c r="K119" s="263" t="s">
        <v>80</v>
      </c>
      <c r="L119" s="306">
        <v>2000</v>
      </c>
      <c r="M119" s="306">
        <v>2000</v>
      </c>
      <c r="N119" s="271"/>
    </row>
    <row r="120" spans="1:14" s="84" customFormat="1" ht="48" customHeight="1" thickTop="1" thickBot="1" x14ac:dyDescent="0.25">
      <c r="A120" s="210" t="s">
        <v>2527</v>
      </c>
      <c r="B120" s="627" t="s">
        <v>2522</v>
      </c>
      <c r="C120" s="420" t="s">
        <v>53</v>
      </c>
      <c r="D120" s="211">
        <v>2</v>
      </c>
      <c r="E120" s="211">
        <v>30</v>
      </c>
      <c r="F120" s="211">
        <v>3</v>
      </c>
      <c r="G120" s="211">
        <v>520</v>
      </c>
      <c r="H120" s="212">
        <v>79892154</v>
      </c>
      <c r="I120" s="213">
        <v>79892154</v>
      </c>
      <c r="J120" s="216" t="s">
        <v>618</v>
      </c>
      <c r="K120" s="263" t="s">
        <v>619</v>
      </c>
      <c r="L120" s="306">
        <v>1</v>
      </c>
      <c r="M120" s="306">
        <v>1</v>
      </c>
      <c r="N120" s="271"/>
    </row>
    <row r="121" spans="1:14" s="84" customFormat="1" ht="48" customHeight="1" thickTop="1" thickBot="1" x14ac:dyDescent="0.25">
      <c r="A121" s="210" t="s">
        <v>2527</v>
      </c>
      <c r="B121" s="627" t="s">
        <v>2522</v>
      </c>
      <c r="C121" s="420" t="s">
        <v>53</v>
      </c>
      <c r="D121" s="211">
        <v>2</v>
      </c>
      <c r="E121" s="211">
        <v>30</v>
      </c>
      <c r="F121" s="211">
        <v>3</v>
      </c>
      <c r="G121" s="211">
        <v>520</v>
      </c>
      <c r="H121" s="212">
        <v>249684000</v>
      </c>
      <c r="I121" s="213">
        <v>249684000</v>
      </c>
      <c r="J121" s="216" t="s">
        <v>620</v>
      </c>
      <c r="K121" s="263" t="s">
        <v>13</v>
      </c>
      <c r="L121" s="306">
        <v>1</v>
      </c>
      <c r="M121" s="306">
        <v>1</v>
      </c>
      <c r="N121" s="271"/>
    </row>
    <row r="122" spans="1:14" s="84" customFormat="1" ht="48" customHeight="1" thickTop="1" thickBot="1" x14ac:dyDescent="0.25">
      <c r="A122" s="210" t="s">
        <v>2527</v>
      </c>
      <c r="B122" s="627" t="s">
        <v>2522</v>
      </c>
      <c r="C122" s="420" t="s">
        <v>53</v>
      </c>
      <c r="D122" s="211">
        <v>2</v>
      </c>
      <c r="E122" s="211">
        <v>30</v>
      </c>
      <c r="F122" s="211">
        <v>3</v>
      </c>
      <c r="G122" s="211">
        <v>520</v>
      </c>
      <c r="H122" s="212">
        <v>75286520</v>
      </c>
      <c r="I122" s="213">
        <v>75286520</v>
      </c>
      <c r="J122" s="216" t="s">
        <v>621</v>
      </c>
      <c r="K122" s="263" t="s">
        <v>619</v>
      </c>
      <c r="L122" s="306">
        <v>1</v>
      </c>
      <c r="M122" s="306">
        <v>1</v>
      </c>
      <c r="N122" s="271"/>
    </row>
    <row r="123" spans="1:14" s="84" customFormat="1" ht="48" customHeight="1" thickTop="1" thickBot="1" x14ac:dyDescent="0.25">
      <c r="A123" s="210" t="s">
        <v>2527</v>
      </c>
      <c r="B123" s="627" t="s">
        <v>2522</v>
      </c>
      <c r="C123" s="420" t="s">
        <v>53</v>
      </c>
      <c r="D123" s="211">
        <v>2</v>
      </c>
      <c r="E123" s="211">
        <v>30</v>
      </c>
      <c r="F123" s="211">
        <v>3</v>
      </c>
      <c r="G123" s="211">
        <v>520</v>
      </c>
      <c r="H123" s="212">
        <v>84469196</v>
      </c>
      <c r="I123" s="213">
        <v>84469196</v>
      </c>
      <c r="J123" s="216" t="s">
        <v>622</v>
      </c>
      <c r="K123" s="263" t="s">
        <v>619</v>
      </c>
      <c r="L123" s="306">
        <v>1</v>
      </c>
      <c r="M123" s="306">
        <v>1</v>
      </c>
      <c r="N123" s="271"/>
    </row>
    <row r="124" spans="1:14" s="84" customFormat="1" ht="48" customHeight="1" thickTop="1" thickBot="1" x14ac:dyDescent="0.25">
      <c r="A124" s="210" t="s">
        <v>2527</v>
      </c>
      <c r="B124" s="627" t="s">
        <v>2522</v>
      </c>
      <c r="C124" s="420" t="s">
        <v>53</v>
      </c>
      <c r="D124" s="211">
        <v>2</v>
      </c>
      <c r="E124" s="211">
        <v>30</v>
      </c>
      <c r="F124" s="211">
        <v>3</v>
      </c>
      <c r="G124" s="211">
        <v>520</v>
      </c>
      <c r="H124" s="212">
        <v>692177620</v>
      </c>
      <c r="I124" s="213">
        <v>0</v>
      </c>
      <c r="J124" s="216" t="s">
        <v>623</v>
      </c>
      <c r="K124" s="263" t="s">
        <v>55</v>
      </c>
      <c r="L124" s="306">
        <v>5</v>
      </c>
      <c r="M124" s="306">
        <v>0</v>
      </c>
      <c r="N124" s="271"/>
    </row>
    <row r="125" spans="1:14" s="84" customFormat="1" ht="36" customHeight="1" thickTop="1" thickBot="1" x14ac:dyDescent="0.25">
      <c r="A125" s="210" t="s">
        <v>2527</v>
      </c>
      <c r="B125" s="627" t="s">
        <v>2522</v>
      </c>
      <c r="C125" s="649" t="s">
        <v>2108</v>
      </c>
      <c r="D125" s="211">
        <v>2</v>
      </c>
      <c r="E125" s="211">
        <v>30</v>
      </c>
      <c r="F125" s="211">
        <v>3</v>
      </c>
      <c r="G125" s="211">
        <v>530</v>
      </c>
      <c r="H125" s="212">
        <v>105000000</v>
      </c>
      <c r="I125" s="213">
        <v>104912500</v>
      </c>
      <c r="J125" s="216" t="s">
        <v>624</v>
      </c>
      <c r="K125" s="263" t="s">
        <v>625</v>
      </c>
      <c r="L125" s="306">
        <v>550</v>
      </c>
      <c r="M125" s="306">
        <v>550</v>
      </c>
      <c r="N125" s="271"/>
    </row>
    <row r="126" spans="1:14" s="84" customFormat="1" ht="38.25" customHeight="1" thickTop="1" thickBot="1" x14ac:dyDescent="0.25">
      <c r="A126" s="210" t="s">
        <v>2527</v>
      </c>
      <c r="B126" s="627" t="s">
        <v>2522</v>
      </c>
      <c r="C126" s="650"/>
      <c r="D126" s="211">
        <v>2</v>
      </c>
      <c r="E126" s="211">
        <v>30</v>
      </c>
      <c r="F126" s="211">
        <v>3</v>
      </c>
      <c r="G126" s="211">
        <v>980</v>
      </c>
      <c r="H126" s="212">
        <v>130000000</v>
      </c>
      <c r="I126" s="213">
        <v>126850000</v>
      </c>
      <c r="J126" s="216" t="s">
        <v>626</v>
      </c>
      <c r="K126" s="263" t="s">
        <v>16</v>
      </c>
      <c r="L126" s="306">
        <v>4</v>
      </c>
      <c r="M126" s="306">
        <v>4</v>
      </c>
      <c r="N126" s="271"/>
    </row>
    <row r="127" spans="1:14" s="123" customFormat="1" ht="16.5" thickTop="1" thickBot="1" x14ac:dyDescent="0.3">
      <c r="A127" s="90"/>
      <c r="B127" s="113"/>
      <c r="C127" s="45"/>
      <c r="D127" s="46"/>
      <c r="E127" s="46"/>
      <c r="F127" s="46"/>
      <c r="G127" s="46"/>
      <c r="H127" s="48"/>
      <c r="I127" s="48"/>
      <c r="J127" s="46"/>
      <c r="K127" s="46"/>
      <c r="L127" s="48"/>
      <c r="M127" s="48"/>
      <c r="N127" s="275"/>
    </row>
    <row r="128" spans="1:14" s="73" customFormat="1" ht="30" customHeight="1" thickTop="1" thickBot="1" x14ac:dyDescent="0.25">
      <c r="A128" s="639" t="s">
        <v>0</v>
      </c>
      <c r="B128" s="639" t="s">
        <v>1</v>
      </c>
      <c r="C128" s="639" t="s">
        <v>2569</v>
      </c>
      <c r="D128" s="636" t="s">
        <v>1961</v>
      </c>
      <c r="E128" s="637"/>
      <c r="F128" s="637"/>
      <c r="G128" s="638"/>
      <c r="H128" s="636" t="s">
        <v>3</v>
      </c>
      <c r="I128" s="637"/>
      <c r="J128" s="636" t="s">
        <v>1962</v>
      </c>
      <c r="K128" s="637"/>
      <c r="L128" s="637"/>
      <c r="M128" s="638"/>
      <c r="N128" s="273"/>
    </row>
    <row r="129" spans="1:14" s="73" customFormat="1" ht="34.5" customHeight="1" thickTop="1" thickBot="1" x14ac:dyDescent="0.25">
      <c r="A129" s="640"/>
      <c r="B129" s="640"/>
      <c r="C129" s="640"/>
      <c r="D129" s="209" t="s">
        <v>4</v>
      </c>
      <c r="E129" s="209" t="s">
        <v>5</v>
      </c>
      <c r="F129" s="209" t="s">
        <v>6</v>
      </c>
      <c r="G129" s="209" t="s">
        <v>7</v>
      </c>
      <c r="H129" s="209" t="s">
        <v>2</v>
      </c>
      <c r="I129" s="209" t="s">
        <v>3</v>
      </c>
      <c r="J129" s="209" t="s">
        <v>8</v>
      </c>
      <c r="K129" s="261" t="s">
        <v>9</v>
      </c>
      <c r="L129" s="261" t="s">
        <v>1963</v>
      </c>
      <c r="M129" s="261" t="s">
        <v>1964</v>
      </c>
      <c r="N129" s="273"/>
    </row>
    <row r="130" spans="1:14" s="73" customFormat="1" ht="48.75" customHeight="1" thickTop="1" thickBot="1" x14ac:dyDescent="0.25">
      <c r="A130" s="211" t="s">
        <v>709</v>
      </c>
      <c r="B130" s="627" t="s">
        <v>2522</v>
      </c>
      <c r="C130" s="420" t="s">
        <v>53</v>
      </c>
      <c r="D130" s="211">
        <v>3</v>
      </c>
      <c r="E130" s="211">
        <v>30</v>
      </c>
      <c r="F130" s="211">
        <v>11</v>
      </c>
      <c r="G130" s="211">
        <v>989</v>
      </c>
      <c r="H130" s="212">
        <v>254741250</v>
      </c>
      <c r="I130" s="213">
        <v>0</v>
      </c>
      <c r="J130" s="216" t="s">
        <v>627</v>
      </c>
      <c r="K130" s="263" t="s">
        <v>16</v>
      </c>
      <c r="L130" s="306">
        <v>1</v>
      </c>
      <c r="M130" s="306">
        <v>0</v>
      </c>
      <c r="N130" s="273"/>
    </row>
    <row r="131" spans="1:14" s="73" customFormat="1" ht="50.25" customHeight="1" thickTop="1" thickBot="1" x14ac:dyDescent="0.25">
      <c r="A131" s="211" t="s">
        <v>709</v>
      </c>
      <c r="B131" s="627" t="s">
        <v>2522</v>
      </c>
      <c r="C131" s="211" t="s">
        <v>18</v>
      </c>
      <c r="D131" s="211">
        <v>2</v>
      </c>
      <c r="E131" s="211">
        <v>30</v>
      </c>
      <c r="F131" s="211">
        <v>3</v>
      </c>
      <c r="G131" s="211">
        <v>848</v>
      </c>
      <c r="H131" s="212">
        <v>602478906</v>
      </c>
      <c r="I131" s="213">
        <v>416329500</v>
      </c>
      <c r="J131" s="216" t="s">
        <v>628</v>
      </c>
      <c r="K131" s="263" t="s">
        <v>20</v>
      </c>
      <c r="L131" s="306">
        <v>402</v>
      </c>
      <c r="M131" s="306">
        <v>278</v>
      </c>
      <c r="N131" s="273"/>
    </row>
    <row r="132" spans="1:14" s="73" customFormat="1" ht="50.25" customHeight="1" thickTop="1" thickBot="1" x14ac:dyDescent="0.25">
      <c r="A132" s="211" t="s">
        <v>709</v>
      </c>
      <c r="B132" s="627" t="s">
        <v>2522</v>
      </c>
      <c r="C132" s="649" t="s">
        <v>53</v>
      </c>
      <c r="D132" s="211">
        <v>3</v>
      </c>
      <c r="E132" s="211">
        <v>30</v>
      </c>
      <c r="F132" s="211">
        <v>3</v>
      </c>
      <c r="G132" s="211">
        <v>520</v>
      </c>
      <c r="H132" s="212">
        <v>1383041594</v>
      </c>
      <c r="I132" s="213">
        <v>393601776</v>
      </c>
      <c r="J132" s="216" t="s">
        <v>715</v>
      </c>
      <c r="K132" s="263" t="s">
        <v>55</v>
      </c>
      <c r="L132" s="306">
        <v>9</v>
      </c>
      <c r="M132" s="306">
        <v>4</v>
      </c>
      <c r="N132" s="273"/>
    </row>
    <row r="133" spans="1:14" s="73" customFormat="1" ht="46.5" customHeight="1" thickTop="1" thickBot="1" x14ac:dyDescent="0.25">
      <c r="A133" s="211" t="s">
        <v>709</v>
      </c>
      <c r="B133" s="627" t="s">
        <v>2522</v>
      </c>
      <c r="C133" s="650"/>
      <c r="D133" s="211">
        <v>3</v>
      </c>
      <c r="E133" s="211">
        <v>30</v>
      </c>
      <c r="F133" s="211">
        <v>3</v>
      </c>
      <c r="G133" s="211">
        <v>989</v>
      </c>
      <c r="H133" s="212">
        <v>22742521</v>
      </c>
      <c r="I133" s="213">
        <v>22742521</v>
      </c>
      <c r="J133" s="216" t="s">
        <v>629</v>
      </c>
      <c r="K133" s="263" t="s">
        <v>16</v>
      </c>
      <c r="L133" s="306">
        <v>3</v>
      </c>
      <c r="M133" s="306">
        <v>3</v>
      </c>
      <c r="N133" s="273"/>
    </row>
    <row r="134" spans="1:14" s="54" customFormat="1" ht="16.5" thickTop="1" thickBot="1" x14ac:dyDescent="0.3">
      <c r="A134" s="98"/>
      <c r="B134" s="85"/>
      <c r="C134" s="62"/>
      <c r="D134" s="59"/>
      <c r="E134" s="59"/>
      <c r="F134" s="59"/>
      <c r="G134" s="59"/>
      <c r="H134" s="118"/>
      <c r="I134" s="118"/>
      <c r="J134" s="119"/>
      <c r="K134" s="59"/>
      <c r="L134" s="59"/>
      <c r="M134" s="59"/>
      <c r="N134" s="269"/>
    </row>
    <row r="135" spans="1:14" s="73" customFormat="1" ht="30" customHeight="1" thickTop="1" thickBot="1" x14ac:dyDescent="0.25">
      <c r="A135" s="639" t="s">
        <v>0</v>
      </c>
      <c r="B135" s="639" t="s">
        <v>1</v>
      </c>
      <c r="C135" s="639" t="s">
        <v>2569</v>
      </c>
      <c r="D135" s="636" t="s">
        <v>1961</v>
      </c>
      <c r="E135" s="637"/>
      <c r="F135" s="637"/>
      <c r="G135" s="638"/>
      <c r="H135" s="636" t="s">
        <v>3</v>
      </c>
      <c r="I135" s="637"/>
      <c r="J135" s="636" t="s">
        <v>1962</v>
      </c>
      <c r="K135" s="637"/>
      <c r="L135" s="637"/>
      <c r="M135" s="638"/>
      <c r="N135" s="273"/>
    </row>
    <row r="136" spans="1:14" s="73" customFormat="1" ht="34.5" customHeight="1" thickTop="1" thickBot="1" x14ac:dyDescent="0.25">
      <c r="A136" s="640"/>
      <c r="B136" s="640"/>
      <c r="C136" s="640"/>
      <c r="D136" s="209" t="s">
        <v>4</v>
      </c>
      <c r="E136" s="209" t="s">
        <v>5</v>
      </c>
      <c r="F136" s="209" t="s">
        <v>6</v>
      </c>
      <c r="G136" s="209" t="s">
        <v>7</v>
      </c>
      <c r="H136" s="209" t="s">
        <v>2</v>
      </c>
      <c r="I136" s="209" t="s">
        <v>3</v>
      </c>
      <c r="J136" s="209" t="s">
        <v>8</v>
      </c>
      <c r="K136" s="261" t="s">
        <v>9</v>
      </c>
      <c r="L136" s="261" t="s">
        <v>1963</v>
      </c>
      <c r="M136" s="261" t="s">
        <v>1964</v>
      </c>
      <c r="N136" s="273"/>
    </row>
    <row r="137" spans="1:14" s="73" customFormat="1" ht="47.25" customHeight="1" thickTop="1" thickBot="1" x14ac:dyDescent="0.25">
      <c r="A137" s="210" t="s">
        <v>710</v>
      </c>
      <c r="B137" s="627" t="s">
        <v>2522</v>
      </c>
      <c r="C137" s="211" t="s">
        <v>18</v>
      </c>
      <c r="D137" s="211">
        <v>3</v>
      </c>
      <c r="E137" s="211">
        <v>30</v>
      </c>
      <c r="F137" s="211">
        <v>3</v>
      </c>
      <c r="G137" s="211">
        <v>848</v>
      </c>
      <c r="H137" s="212">
        <v>511668410</v>
      </c>
      <c r="I137" s="213">
        <v>507674000</v>
      </c>
      <c r="J137" s="216" t="s">
        <v>630</v>
      </c>
      <c r="K137" s="263" t="s">
        <v>20</v>
      </c>
      <c r="L137" s="306">
        <v>1300</v>
      </c>
      <c r="M137" s="306">
        <v>1300</v>
      </c>
      <c r="N137" s="273"/>
    </row>
    <row r="138" spans="1:14" s="73" customFormat="1" ht="48" customHeight="1" thickTop="1" thickBot="1" x14ac:dyDescent="0.25">
      <c r="A138" s="210" t="s">
        <v>710</v>
      </c>
      <c r="B138" s="627" t="s">
        <v>2522</v>
      </c>
      <c r="C138" s="211" t="s">
        <v>53</v>
      </c>
      <c r="D138" s="211">
        <v>3</v>
      </c>
      <c r="E138" s="211">
        <v>30</v>
      </c>
      <c r="F138" s="211">
        <v>3</v>
      </c>
      <c r="G138" s="211">
        <v>520</v>
      </c>
      <c r="H138" s="212">
        <f>720993220-200000000+350000000</f>
        <v>870993220</v>
      </c>
      <c r="I138" s="213">
        <f>51200000+199800000</f>
        <v>251000000</v>
      </c>
      <c r="J138" s="216" t="s">
        <v>631</v>
      </c>
      <c r="K138" s="263" t="s">
        <v>55</v>
      </c>
      <c r="L138" s="306">
        <v>10</v>
      </c>
      <c r="M138" s="306">
        <v>3</v>
      </c>
      <c r="N138" s="273"/>
    </row>
    <row r="139" spans="1:14" s="73" customFormat="1" ht="48" customHeight="1" thickTop="1" thickBot="1" x14ac:dyDescent="0.25">
      <c r="A139" s="210" t="s">
        <v>710</v>
      </c>
      <c r="B139" s="627" t="s">
        <v>2522</v>
      </c>
      <c r="C139" s="211" t="s">
        <v>53</v>
      </c>
      <c r="D139" s="211">
        <v>3</v>
      </c>
      <c r="E139" s="211">
        <v>30</v>
      </c>
      <c r="F139" s="211">
        <v>3</v>
      </c>
      <c r="G139" s="211">
        <v>520</v>
      </c>
      <c r="H139" s="212">
        <v>200000000</v>
      </c>
      <c r="I139" s="213">
        <v>20000000</v>
      </c>
      <c r="J139" s="216" t="s">
        <v>632</v>
      </c>
      <c r="K139" s="263" t="s">
        <v>55</v>
      </c>
      <c r="L139" s="306">
        <v>4</v>
      </c>
      <c r="M139" s="306">
        <v>0.5</v>
      </c>
      <c r="N139" s="273"/>
    </row>
    <row r="140" spans="1:14" s="73" customFormat="1" ht="51" customHeight="1" thickTop="1" thickBot="1" x14ac:dyDescent="0.25">
      <c r="A140" s="210" t="s">
        <v>710</v>
      </c>
      <c r="B140" s="627" t="s">
        <v>2522</v>
      </c>
      <c r="C140" s="211" t="s">
        <v>440</v>
      </c>
      <c r="D140" s="211">
        <v>3</v>
      </c>
      <c r="E140" s="211">
        <v>30</v>
      </c>
      <c r="F140" s="211">
        <v>3</v>
      </c>
      <c r="G140" s="211">
        <v>580</v>
      </c>
      <c r="H140" s="212">
        <v>140000000</v>
      </c>
      <c r="I140" s="213">
        <v>0</v>
      </c>
      <c r="J140" s="216" t="s">
        <v>633</v>
      </c>
      <c r="K140" s="263" t="s">
        <v>72</v>
      </c>
      <c r="L140" s="306">
        <v>2</v>
      </c>
      <c r="M140" s="306">
        <v>0</v>
      </c>
      <c r="N140" s="273"/>
    </row>
    <row r="141" spans="1:14" s="54" customFormat="1" ht="16.5" thickTop="1" thickBot="1" x14ac:dyDescent="0.3">
      <c r="A141" s="114"/>
      <c r="B141" s="113"/>
      <c r="C141" s="51"/>
      <c r="D141" s="52"/>
      <c r="E141" s="52"/>
      <c r="F141" s="52"/>
      <c r="G141" s="52"/>
      <c r="H141" s="116"/>
      <c r="I141" s="116"/>
      <c r="J141" s="115"/>
      <c r="K141" s="52"/>
      <c r="L141" s="117"/>
      <c r="M141" s="117"/>
      <c r="N141" s="269"/>
    </row>
    <row r="142" spans="1:14" s="73" customFormat="1" ht="30" customHeight="1" thickTop="1" thickBot="1" x14ac:dyDescent="0.25">
      <c r="A142" s="639" t="s">
        <v>1</v>
      </c>
      <c r="B142" s="639" t="s">
        <v>0</v>
      </c>
      <c r="C142" s="639" t="s">
        <v>2569</v>
      </c>
      <c r="D142" s="636" t="s">
        <v>1961</v>
      </c>
      <c r="E142" s="637"/>
      <c r="F142" s="637"/>
      <c r="G142" s="638"/>
      <c r="H142" s="636" t="s">
        <v>3</v>
      </c>
      <c r="I142" s="637"/>
      <c r="J142" s="636" t="s">
        <v>1962</v>
      </c>
      <c r="K142" s="637"/>
      <c r="L142" s="637"/>
      <c r="M142" s="638"/>
      <c r="N142" s="273"/>
    </row>
    <row r="143" spans="1:14" s="73" customFormat="1" ht="34.5" customHeight="1" thickTop="1" thickBot="1" x14ac:dyDescent="0.25">
      <c r="A143" s="640"/>
      <c r="B143" s="640"/>
      <c r="C143" s="640"/>
      <c r="D143" s="209" t="s">
        <v>4</v>
      </c>
      <c r="E143" s="209" t="s">
        <v>5</v>
      </c>
      <c r="F143" s="209" t="s">
        <v>6</v>
      </c>
      <c r="G143" s="209" t="s">
        <v>7</v>
      </c>
      <c r="H143" s="209" t="s">
        <v>2</v>
      </c>
      <c r="I143" s="209" t="s">
        <v>3</v>
      </c>
      <c r="J143" s="209" t="s">
        <v>8</v>
      </c>
      <c r="K143" s="261" t="s">
        <v>9</v>
      </c>
      <c r="L143" s="261" t="s">
        <v>1963</v>
      </c>
      <c r="M143" s="261" t="s">
        <v>1964</v>
      </c>
      <c r="N143" s="273"/>
    </row>
    <row r="144" spans="1:14" s="73" customFormat="1" ht="36" customHeight="1" thickTop="1" thickBot="1" x14ac:dyDescent="0.25">
      <c r="A144" s="211" t="s">
        <v>711</v>
      </c>
      <c r="B144" s="627" t="s">
        <v>2522</v>
      </c>
      <c r="C144" s="211" t="s">
        <v>18</v>
      </c>
      <c r="D144" s="211">
        <v>3</v>
      </c>
      <c r="E144" s="211">
        <v>30</v>
      </c>
      <c r="F144" s="211">
        <v>3</v>
      </c>
      <c r="G144" s="211">
        <v>848</v>
      </c>
      <c r="H144" s="212">
        <v>243585105</v>
      </c>
      <c r="I144" s="213">
        <v>99758700</v>
      </c>
      <c r="J144" s="216" t="s">
        <v>634</v>
      </c>
      <c r="K144" s="263" t="s">
        <v>20</v>
      </c>
      <c r="L144" s="306">
        <v>557</v>
      </c>
      <c r="M144" s="306">
        <v>229</v>
      </c>
      <c r="N144" s="273"/>
    </row>
    <row r="145" spans="1:14" s="73" customFormat="1" ht="38.25" customHeight="1" thickTop="1" thickBot="1" x14ac:dyDescent="0.25">
      <c r="A145" s="211" t="s">
        <v>711</v>
      </c>
      <c r="B145" s="627" t="s">
        <v>2522</v>
      </c>
      <c r="C145" s="420" t="s">
        <v>440</v>
      </c>
      <c r="D145" s="211">
        <v>3</v>
      </c>
      <c r="E145" s="211">
        <v>30</v>
      </c>
      <c r="F145" s="211">
        <v>3</v>
      </c>
      <c r="G145" s="211">
        <v>521</v>
      </c>
      <c r="H145" s="212">
        <v>113673049</v>
      </c>
      <c r="I145" s="213">
        <v>0</v>
      </c>
      <c r="J145" s="216" t="s">
        <v>716</v>
      </c>
      <c r="K145" s="263" t="s">
        <v>13</v>
      </c>
      <c r="L145" s="306">
        <v>1</v>
      </c>
      <c r="M145" s="306">
        <v>0</v>
      </c>
      <c r="N145" s="273"/>
    </row>
    <row r="146" spans="1:14" s="73" customFormat="1" ht="46.5" thickTop="1" thickBot="1" x14ac:dyDescent="0.25">
      <c r="A146" s="211" t="s">
        <v>711</v>
      </c>
      <c r="B146" s="627" t="s">
        <v>2522</v>
      </c>
      <c r="C146" s="211" t="s">
        <v>179</v>
      </c>
      <c r="D146" s="211">
        <v>3</v>
      </c>
      <c r="E146" s="211">
        <v>30</v>
      </c>
      <c r="F146" s="211">
        <v>3</v>
      </c>
      <c r="G146" s="211">
        <v>522</v>
      </c>
      <c r="H146" s="212">
        <v>234974665</v>
      </c>
      <c r="I146" s="213">
        <v>169500000</v>
      </c>
      <c r="J146" s="216" t="s">
        <v>635</v>
      </c>
      <c r="K146" s="263" t="s">
        <v>495</v>
      </c>
      <c r="L146" s="306">
        <v>1</v>
      </c>
      <c r="M146" s="306">
        <v>1</v>
      </c>
      <c r="N146" s="273"/>
    </row>
    <row r="147" spans="1:14" s="73" customFormat="1" ht="52.5" customHeight="1" thickTop="1" thickBot="1" x14ac:dyDescent="0.25">
      <c r="A147" s="211" t="s">
        <v>711</v>
      </c>
      <c r="B147" s="627" t="s">
        <v>2522</v>
      </c>
      <c r="C147" s="211" t="s">
        <v>179</v>
      </c>
      <c r="D147" s="211">
        <v>3</v>
      </c>
      <c r="E147" s="211">
        <v>30</v>
      </c>
      <c r="F147" s="211">
        <v>3</v>
      </c>
      <c r="G147" s="211">
        <v>522</v>
      </c>
      <c r="H147" s="212">
        <v>219717532</v>
      </c>
      <c r="I147" s="213">
        <v>182952389</v>
      </c>
      <c r="J147" s="216" t="s">
        <v>636</v>
      </c>
      <c r="K147" s="263" t="s">
        <v>55</v>
      </c>
      <c r="L147" s="306">
        <v>3</v>
      </c>
      <c r="M147" s="306">
        <v>1</v>
      </c>
      <c r="N147" s="273"/>
    </row>
    <row r="148" spans="1:14" s="54" customFormat="1" ht="16.5" thickTop="1" thickBot="1" x14ac:dyDescent="0.3">
      <c r="A148" s="98"/>
      <c r="B148" s="85"/>
      <c r="C148" s="33"/>
      <c r="D148" s="22"/>
      <c r="E148" s="22"/>
      <c r="F148" s="22"/>
      <c r="G148" s="22"/>
      <c r="H148" s="32"/>
      <c r="I148" s="32"/>
      <c r="J148" s="33"/>
      <c r="K148" s="22"/>
      <c r="L148" s="16"/>
      <c r="M148" s="16"/>
      <c r="N148" s="269"/>
    </row>
    <row r="149" spans="1:14" s="73" customFormat="1" ht="30" customHeight="1" thickTop="1" thickBot="1" x14ac:dyDescent="0.25">
      <c r="A149" s="639" t="s">
        <v>0</v>
      </c>
      <c r="B149" s="639" t="s">
        <v>1</v>
      </c>
      <c r="C149" s="639" t="s">
        <v>2569</v>
      </c>
      <c r="D149" s="636" t="s">
        <v>1961</v>
      </c>
      <c r="E149" s="637"/>
      <c r="F149" s="637"/>
      <c r="G149" s="638"/>
      <c r="H149" s="636" t="s">
        <v>3</v>
      </c>
      <c r="I149" s="637"/>
      <c r="J149" s="636" t="s">
        <v>1962</v>
      </c>
      <c r="K149" s="637"/>
      <c r="L149" s="637"/>
      <c r="M149" s="638"/>
      <c r="N149" s="273"/>
    </row>
    <row r="150" spans="1:14" s="73" customFormat="1" ht="34.5" customHeight="1" thickTop="1" thickBot="1" x14ac:dyDescent="0.25">
      <c r="A150" s="640"/>
      <c r="B150" s="640"/>
      <c r="C150" s="640"/>
      <c r="D150" s="209" t="s">
        <v>4</v>
      </c>
      <c r="E150" s="209" t="s">
        <v>5</v>
      </c>
      <c r="F150" s="209" t="s">
        <v>6</v>
      </c>
      <c r="G150" s="209" t="s">
        <v>7</v>
      </c>
      <c r="H150" s="209" t="s">
        <v>2</v>
      </c>
      <c r="I150" s="209" t="s">
        <v>3</v>
      </c>
      <c r="J150" s="209" t="s">
        <v>8</v>
      </c>
      <c r="K150" s="261" t="s">
        <v>9</v>
      </c>
      <c r="L150" s="261" t="s">
        <v>1963</v>
      </c>
      <c r="M150" s="261" t="s">
        <v>1964</v>
      </c>
      <c r="N150" s="273"/>
    </row>
    <row r="151" spans="1:14" s="73" customFormat="1" ht="44.25" customHeight="1" thickTop="1" thickBot="1" x14ac:dyDescent="0.25">
      <c r="A151" s="211" t="s">
        <v>2528</v>
      </c>
      <c r="B151" s="211" t="s">
        <v>2522</v>
      </c>
      <c r="C151" s="211" t="s">
        <v>18</v>
      </c>
      <c r="D151" s="211">
        <v>2</v>
      </c>
      <c r="E151" s="211">
        <v>30</v>
      </c>
      <c r="F151" s="211">
        <v>3</v>
      </c>
      <c r="G151" s="211">
        <v>848</v>
      </c>
      <c r="H151" s="212">
        <v>455058143</v>
      </c>
      <c r="I151" s="213">
        <v>325125000</v>
      </c>
      <c r="J151" s="216" t="s">
        <v>637</v>
      </c>
      <c r="K151" s="263" t="s">
        <v>20</v>
      </c>
      <c r="L151" s="306">
        <v>345</v>
      </c>
      <c r="M151" s="306">
        <v>245</v>
      </c>
      <c r="N151" s="273"/>
    </row>
    <row r="152" spans="1:14" s="73" customFormat="1" ht="48.75" customHeight="1" thickTop="1" thickBot="1" x14ac:dyDescent="0.25">
      <c r="A152" s="627" t="s">
        <v>2528</v>
      </c>
      <c r="B152" s="627" t="s">
        <v>2522</v>
      </c>
      <c r="C152" s="211" t="s">
        <v>179</v>
      </c>
      <c r="D152" s="211">
        <v>3</v>
      </c>
      <c r="E152" s="211">
        <v>30</v>
      </c>
      <c r="F152" s="211">
        <v>3</v>
      </c>
      <c r="G152" s="211">
        <v>520</v>
      </c>
      <c r="H152" s="212">
        <v>78565702</v>
      </c>
      <c r="I152" s="213">
        <v>78565702</v>
      </c>
      <c r="J152" s="216" t="s">
        <v>638</v>
      </c>
      <c r="K152" s="263" t="s">
        <v>55</v>
      </c>
      <c r="L152" s="306">
        <v>1</v>
      </c>
      <c r="M152" s="306">
        <v>1</v>
      </c>
      <c r="N152" s="273"/>
    </row>
    <row r="153" spans="1:14" s="73" customFormat="1" ht="48.75" customHeight="1" thickTop="1" thickBot="1" x14ac:dyDescent="0.25">
      <c r="A153" s="627" t="s">
        <v>2528</v>
      </c>
      <c r="B153" s="627" t="s">
        <v>2522</v>
      </c>
      <c r="C153" s="211" t="s">
        <v>179</v>
      </c>
      <c r="D153" s="211">
        <v>3</v>
      </c>
      <c r="E153" s="211">
        <v>30</v>
      </c>
      <c r="F153" s="211">
        <v>3</v>
      </c>
      <c r="G153" s="211">
        <v>520</v>
      </c>
      <c r="H153" s="212">
        <v>24032000</v>
      </c>
      <c r="I153" s="213">
        <v>24032000</v>
      </c>
      <c r="J153" s="216" t="s">
        <v>639</v>
      </c>
      <c r="K153" s="263" t="s">
        <v>103</v>
      </c>
      <c r="L153" s="306">
        <v>1</v>
      </c>
      <c r="M153" s="306">
        <v>1</v>
      </c>
      <c r="N153" s="273"/>
    </row>
    <row r="154" spans="1:14" s="73" customFormat="1" ht="52.5" customHeight="1" thickTop="1" thickBot="1" x14ac:dyDescent="0.25">
      <c r="A154" s="627" t="s">
        <v>2528</v>
      </c>
      <c r="B154" s="627" t="s">
        <v>2522</v>
      </c>
      <c r="C154" s="211" t="s">
        <v>179</v>
      </c>
      <c r="D154" s="211">
        <v>3</v>
      </c>
      <c r="E154" s="211">
        <v>30</v>
      </c>
      <c r="F154" s="211">
        <v>3</v>
      </c>
      <c r="G154" s="211">
        <v>520</v>
      </c>
      <c r="H154" s="212">
        <v>139018669</v>
      </c>
      <c r="I154" s="213">
        <v>139018669</v>
      </c>
      <c r="J154" s="216" t="s">
        <v>640</v>
      </c>
      <c r="K154" s="263" t="s">
        <v>641</v>
      </c>
      <c r="L154" s="306">
        <v>1</v>
      </c>
      <c r="M154" s="306">
        <v>1</v>
      </c>
      <c r="N154" s="273"/>
    </row>
    <row r="155" spans="1:14" s="73" customFormat="1" ht="61.5" customHeight="1" thickTop="1" thickBot="1" x14ac:dyDescent="0.25">
      <c r="A155" s="627" t="s">
        <v>2528</v>
      </c>
      <c r="B155" s="627" t="s">
        <v>2522</v>
      </c>
      <c r="C155" s="211" t="s">
        <v>179</v>
      </c>
      <c r="D155" s="211">
        <v>3</v>
      </c>
      <c r="E155" s="211">
        <v>30</v>
      </c>
      <c r="F155" s="211">
        <v>3</v>
      </c>
      <c r="G155" s="211">
        <v>520</v>
      </c>
      <c r="H155" s="212">
        <v>120000000</v>
      </c>
      <c r="I155" s="213">
        <v>120000000</v>
      </c>
      <c r="J155" s="216" t="s">
        <v>642</v>
      </c>
      <c r="K155" s="263" t="s">
        <v>12</v>
      </c>
      <c r="L155" s="306">
        <v>384</v>
      </c>
      <c r="M155" s="306">
        <v>384</v>
      </c>
      <c r="N155" s="273"/>
    </row>
    <row r="156" spans="1:14" s="73" customFormat="1" ht="46.5" thickTop="1" thickBot="1" x14ac:dyDescent="0.25">
      <c r="A156" s="627" t="s">
        <v>2528</v>
      </c>
      <c r="B156" s="627" t="s">
        <v>2522</v>
      </c>
      <c r="C156" s="211" t="s">
        <v>179</v>
      </c>
      <c r="D156" s="211">
        <v>3</v>
      </c>
      <c r="E156" s="211">
        <v>30</v>
      </c>
      <c r="F156" s="211">
        <v>3</v>
      </c>
      <c r="G156" s="211">
        <v>520</v>
      </c>
      <c r="H156" s="212">
        <v>490277455</v>
      </c>
      <c r="I156" s="213">
        <v>0</v>
      </c>
      <c r="J156" s="216" t="s">
        <v>643</v>
      </c>
      <c r="K156" s="263" t="s">
        <v>55</v>
      </c>
      <c r="L156" s="306">
        <v>8</v>
      </c>
      <c r="M156" s="306">
        <v>0</v>
      </c>
      <c r="N156" s="273"/>
    </row>
    <row r="157" spans="1:14" s="73" customFormat="1" ht="63" customHeight="1" thickTop="1" thickBot="1" x14ac:dyDescent="0.25">
      <c r="A157" s="627" t="s">
        <v>2528</v>
      </c>
      <c r="B157" s="627" t="s">
        <v>2522</v>
      </c>
      <c r="C157" s="211" t="s">
        <v>1074</v>
      </c>
      <c r="D157" s="211">
        <v>3</v>
      </c>
      <c r="E157" s="211">
        <v>30</v>
      </c>
      <c r="F157" s="211">
        <v>3</v>
      </c>
      <c r="G157" s="211">
        <v>540</v>
      </c>
      <c r="H157" s="212">
        <v>87750000</v>
      </c>
      <c r="I157" s="213">
        <v>87750000</v>
      </c>
      <c r="J157" s="216" t="s">
        <v>644</v>
      </c>
      <c r="K157" s="263" t="s">
        <v>17</v>
      </c>
      <c r="L157" s="306">
        <v>325</v>
      </c>
      <c r="M157" s="306">
        <v>325</v>
      </c>
      <c r="N157" s="273"/>
    </row>
    <row r="158" spans="1:14" s="73" customFormat="1" ht="48.75" customHeight="1" thickTop="1" thickBot="1" x14ac:dyDescent="0.25">
      <c r="A158" s="627" t="s">
        <v>2528</v>
      </c>
      <c r="B158" s="627" t="s">
        <v>2522</v>
      </c>
      <c r="C158" s="211" t="s">
        <v>179</v>
      </c>
      <c r="D158" s="211">
        <v>3</v>
      </c>
      <c r="E158" s="211">
        <v>30</v>
      </c>
      <c r="F158" s="211">
        <v>3</v>
      </c>
      <c r="G158" s="211">
        <v>960</v>
      </c>
      <c r="H158" s="212">
        <v>122158509</v>
      </c>
      <c r="I158" s="213">
        <v>122158509</v>
      </c>
      <c r="J158" s="216" t="s">
        <v>645</v>
      </c>
      <c r="K158" s="263" t="s">
        <v>16</v>
      </c>
      <c r="L158" s="306">
        <v>4</v>
      </c>
      <c r="M158" s="306">
        <v>4</v>
      </c>
      <c r="N158" s="273"/>
    </row>
    <row r="159" spans="1:14" s="54" customFormat="1" ht="16.5" thickTop="1" thickBot="1" x14ac:dyDescent="0.3">
      <c r="A159" s="98"/>
      <c r="B159" s="85"/>
      <c r="C159" s="62"/>
      <c r="D159" s="59"/>
      <c r="E159" s="59"/>
      <c r="F159" s="59"/>
      <c r="G159" s="59"/>
      <c r="H159" s="118"/>
      <c r="I159" s="118"/>
      <c r="J159" s="119"/>
      <c r="K159" s="59"/>
      <c r="L159" s="59"/>
      <c r="M159" s="59"/>
      <c r="N159" s="269"/>
    </row>
    <row r="160" spans="1:14" s="73" customFormat="1" ht="30" customHeight="1" thickTop="1" thickBot="1" x14ac:dyDescent="0.25">
      <c r="A160" s="639" t="s">
        <v>1</v>
      </c>
      <c r="B160" s="639" t="s">
        <v>0</v>
      </c>
      <c r="C160" s="639" t="s">
        <v>2569</v>
      </c>
      <c r="D160" s="636" t="s">
        <v>1961</v>
      </c>
      <c r="E160" s="637"/>
      <c r="F160" s="637"/>
      <c r="G160" s="638"/>
      <c r="H160" s="636" t="s">
        <v>3</v>
      </c>
      <c r="I160" s="637"/>
      <c r="J160" s="636" t="s">
        <v>1962</v>
      </c>
      <c r="K160" s="637"/>
      <c r="L160" s="637"/>
      <c r="M160" s="638"/>
      <c r="N160" s="273"/>
    </row>
    <row r="161" spans="1:14" s="73" customFormat="1" ht="34.5" customHeight="1" thickTop="1" thickBot="1" x14ac:dyDescent="0.25">
      <c r="A161" s="640"/>
      <c r="B161" s="640"/>
      <c r="C161" s="640"/>
      <c r="D161" s="209" t="s">
        <v>4</v>
      </c>
      <c r="E161" s="209" t="s">
        <v>5</v>
      </c>
      <c r="F161" s="209" t="s">
        <v>6</v>
      </c>
      <c r="G161" s="209" t="s">
        <v>7</v>
      </c>
      <c r="H161" s="209" t="s">
        <v>2</v>
      </c>
      <c r="I161" s="209" t="s">
        <v>3</v>
      </c>
      <c r="J161" s="209" t="s">
        <v>8</v>
      </c>
      <c r="K161" s="261" t="s">
        <v>9</v>
      </c>
      <c r="L161" s="261" t="s">
        <v>1963</v>
      </c>
      <c r="M161" s="261" t="s">
        <v>1964</v>
      </c>
      <c r="N161" s="273"/>
    </row>
    <row r="162" spans="1:14" s="73" customFormat="1" ht="46.5" thickTop="1" thickBot="1" x14ac:dyDescent="0.25">
      <c r="A162" s="211" t="s">
        <v>2529</v>
      </c>
      <c r="B162" s="211" t="s">
        <v>2522</v>
      </c>
      <c r="C162" s="211" t="s">
        <v>18</v>
      </c>
      <c r="D162" s="211">
        <v>2</v>
      </c>
      <c r="E162" s="211">
        <v>30</v>
      </c>
      <c r="F162" s="211">
        <v>3</v>
      </c>
      <c r="G162" s="211">
        <v>848</v>
      </c>
      <c r="H162" s="212">
        <v>297795890</v>
      </c>
      <c r="I162" s="213">
        <v>297679800</v>
      </c>
      <c r="J162" s="216" t="s">
        <v>646</v>
      </c>
      <c r="K162" s="263" t="s">
        <v>20</v>
      </c>
      <c r="L162" s="306">
        <v>551</v>
      </c>
      <c r="M162" s="306">
        <v>551</v>
      </c>
      <c r="N162" s="273"/>
    </row>
    <row r="163" spans="1:14" s="73" customFormat="1" ht="46.5" thickTop="1" thickBot="1" x14ac:dyDescent="0.25">
      <c r="A163" s="627" t="s">
        <v>2529</v>
      </c>
      <c r="B163" s="627" t="s">
        <v>2522</v>
      </c>
      <c r="C163" s="211" t="s">
        <v>53</v>
      </c>
      <c r="D163" s="211">
        <v>2</v>
      </c>
      <c r="E163" s="211">
        <v>30</v>
      </c>
      <c r="F163" s="211">
        <v>3</v>
      </c>
      <c r="G163" s="211">
        <v>520</v>
      </c>
      <c r="H163" s="212">
        <f>330000000+205438120-15000000</f>
        <v>520438120</v>
      </c>
      <c r="I163" s="213">
        <v>40540044</v>
      </c>
      <c r="J163" s="216" t="s">
        <v>2109</v>
      </c>
      <c r="K163" s="263" t="s">
        <v>55</v>
      </c>
      <c r="L163" s="306">
        <v>5</v>
      </c>
      <c r="M163" s="306">
        <v>3</v>
      </c>
      <c r="N163" s="273"/>
    </row>
    <row r="164" spans="1:14" s="73" customFormat="1" ht="46.5" thickTop="1" thickBot="1" x14ac:dyDescent="0.25">
      <c r="A164" s="627" t="s">
        <v>2529</v>
      </c>
      <c r="B164" s="627" t="s">
        <v>2522</v>
      </c>
      <c r="C164" s="211" t="s">
        <v>53</v>
      </c>
      <c r="D164" s="211">
        <v>3</v>
      </c>
      <c r="E164" s="211">
        <v>30</v>
      </c>
      <c r="F164" s="211">
        <v>3</v>
      </c>
      <c r="G164" s="211">
        <v>520</v>
      </c>
      <c r="H164" s="212">
        <v>212687886</v>
      </c>
      <c r="I164" s="213">
        <v>45875538</v>
      </c>
      <c r="J164" s="216" t="s">
        <v>647</v>
      </c>
      <c r="K164" s="263" t="s">
        <v>25</v>
      </c>
      <c r="L164" s="306">
        <v>3</v>
      </c>
      <c r="M164" s="306">
        <v>3</v>
      </c>
      <c r="N164" s="273"/>
    </row>
    <row r="165" spans="1:14" s="73" customFormat="1" ht="35.25" thickTop="1" thickBot="1" x14ac:dyDescent="0.25">
      <c r="A165" s="627" t="s">
        <v>2529</v>
      </c>
      <c r="B165" s="627" t="s">
        <v>2522</v>
      </c>
      <c r="C165" s="211" t="s">
        <v>105</v>
      </c>
      <c r="D165" s="211">
        <v>2</v>
      </c>
      <c r="E165" s="211">
        <v>30</v>
      </c>
      <c r="F165" s="211">
        <v>3</v>
      </c>
      <c r="G165" s="211">
        <v>530</v>
      </c>
      <c r="H165" s="212">
        <v>35000000</v>
      </c>
      <c r="I165" s="213">
        <v>33500000</v>
      </c>
      <c r="J165" s="216" t="s">
        <v>648</v>
      </c>
      <c r="K165" s="263" t="s">
        <v>46</v>
      </c>
      <c r="L165" s="306">
        <v>335</v>
      </c>
      <c r="M165" s="306">
        <v>335</v>
      </c>
      <c r="N165" s="273"/>
    </row>
    <row r="166" spans="1:14" s="73" customFormat="1" ht="39.75" customHeight="1" thickTop="1" thickBot="1" x14ac:dyDescent="0.25">
      <c r="A166" s="627" t="s">
        <v>2529</v>
      </c>
      <c r="B166" s="627" t="s">
        <v>2522</v>
      </c>
      <c r="C166" s="211" t="s">
        <v>105</v>
      </c>
      <c r="D166" s="211">
        <v>2</v>
      </c>
      <c r="E166" s="211">
        <v>30</v>
      </c>
      <c r="F166" s="211">
        <v>3</v>
      </c>
      <c r="G166" s="211">
        <v>530</v>
      </c>
      <c r="H166" s="212">
        <v>55000000</v>
      </c>
      <c r="I166" s="213">
        <v>50250000</v>
      </c>
      <c r="J166" s="216" t="s">
        <v>649</v>
      </c>
      <c r="K166" s="263" t="s">
        <v>193</v>
      </c>
      <c r="L166" s="306">
        <v>335</v>
      </c>
      <c r="M166" s="306">
        <v>335</v>
      </c>
      <c r="N166" s="273"/>
    </row>
    <row r="167" spans="1:14" s="73" customFormat="1" ht="39.75" customHeight="1" thickTop="1" thickBot="1" x14ac:dyDescent="0.25">
      <c r="A167" s="627" t="s">
        <v>2529</v>
      </c>
      <c r="B167" s="627" t="s">
        <v>2522</v>
      </c>
      <c r="C167" s="211" t="s">
        <v>105</v>
      </c>
      <c r="D167" s="211">
        <v>2</v>
      </c>
      <c r="E167" s="211">
        <v>30</v>
      </c>
      <c r="F167" s="211">
        <v>3</v>
      </c>
      <c r="G167" s="211">
        <v>530</v>
      </c>
      <c r="H167" s="212">
        <v>10000000</v>
      </c>
      <c r="I167" s="213">
        <v>0</v>
      </c>
      <c r="J167" s="216" t="s">
        <v>650</v>
      </c>
      <c r="K167" s="263" t="s">
        <v>66</v>
      </c>
      <c r="L167" s="306">
        <v>10</v>
      </c>
      <c r="M167" s="306">
        <v>0</v>
      </c>
      <c r="N167" s="273"/>
    </row>
    <row r="168" spans="1:14" s="54" customFormat="1" ht="16.5" thickTop="1" thickBot="1" x14ac:dyDescent="0.3">
      <c r="A168" s="120"/>
      <c r="B168" s="85"/>
      <c r="C168" s="33"/>
      <c r="D168" s="22"/>
      <c r="E168" s="22"/>
      <c r="F168" s="22"/>
      <c r="G168" s="22"/>
      <c r="H168" s="121"/>
      <c r="I168" s="121"/>
      <c r="J168" s="17"/>
      <c r="K168" s="16"/>
      <c r="L168" s="122"/>
      <c r="M168" s="122"/>
      <c r="N168" s="269"/>
    </row>
    <row r="169" spans="1:14" s="73" customFormat="1" ht="30" customHeight="1" thickTop="1" thickBot="1" x14ac:dyDescent="0.25">
      <c r="A169" s="639" t="s">
        <v>0</v>
      </c>
      <c r="B169" s="639" t="s">
        <v>1</v>
      </c>
      <c r="C169" s="639" t="s">
        <v>2569</v>
      </c>
      <c r="D169" s="636" t="s">
        <v>1961</v>
      </c>
      <c r="E169" s="637"/>
      <c r="F169" s="637"/>
      <c r="G169" s="638"/>
      <c r="H169" s="636" t="s">
        <v>3</v>
      </c>
      <c r="I169" s="637"/>
      <c r="J169" s="636" t="s">
        <v>1962</v>
      </c>
      <c r="K169" s="637"/>
      <c r="L169" s="637"/>
      <c r="M169" s="638"/>
      <c r="N169" s="273"/>
    </row>
    <row r="170" spans="1:14" s="73" customFormat="1" ht="34.5" customHeight="1" thickTop="1" thickBot="1" x14ac:dyDescent="0.25">
      <c r="A170" s="640"/>
      <c r="B170" s="640"/>
      <c r="C170" s="640"/>
      <c r="D170" s="209" t="s">
        <v>4</v>
      </c>
      <c r="E170" s="209" t="s">
        <v>5</v>
      </c>
      <c r="F170" s="209" t="s">
        <v>6</v>
      </c>
      <c r="G170" s="209" t="s">
        <v>7</v>
      </c>
      <c r="H170" s="209" t="s">
        <v>2</v>
      </c>
      <c r="I170" s="209" t="s">
        <v>3</v>
      </c>
      <c r="J170" s="209" t="s">
        <v>8</v>
      </c>
      <c r="K170" s="261" t="s">
        <v>9</v>
      </c>
      <c r="L170" s="261" t="s">
        <v>1963</v>
      </c>
      <c r="M170" s="261" t="s">
        <v>1964</v>
      </c>
      <c r="N170" s="273"/>
    </row>
    <row r="171" spans="1:14" s="73" customFormat="1" ht="53.25" customHeight="1" thickTop="1" thickBot="1" x14ac:dyDescent="0.25">
      <c r="A171" s="210" t="s">
        <v>712</v>
      </c>
      <c r="B171" s="211" t="s">
        <v>2522</v>
      </c>
      <c r="C171" s="211" t="s">
        <v>18</v>
      </c>
      <c r="D171" s="211">
        <v>3</v>
      </c>
      <c r="E171" s="211">
        <v>30</v>
      </c>
      <c r="F171" s="211">
        <v>3</v>
      </c>
      <c r="G171" s="211">
        <v>848</v>
      </c>
      <c r="H171" s="212">
        <v>367251106</v>
      </c>
      <c r="I171" s="213">
        <v>186615000</v>
      </c>
      <c r="J171" s="216" t="s">
        <v>651</v>
      </c>
      <c r="K171" s="263" t="s">
        <v>20</v>
      </c>
      <c r="L171" s="306">
        <v>300</v>
      </c>
      <c r="M171" s="306">
        <v>152</v>
      </c>
      <c r="N171" s="273"/>
    </row>
    <row r="172" spans="1:14" s="73" customFormat="1" ht="49.5" customHeight="1" thickTop="1" thickBot="1" x14ac:dyDescent="0.25">
      <c r="A172" s="210" t="s">
        <v>712</v>
      </c>
      <c r="B172" s="627" t="s">
        <v>2522</v>
      </c>
      <c r="C172" s="211" t="s">
        <v>53</v>
      </c>
      <c r="D172" s="211">
        <v>3</v>
      </c>
      <c r="E172" s="211">
        <v>30</v>
      </c>
      <c r="F172" s="211">
        <v>3</v>
      </c>
      <c r="G172" s="211">
        <v>520</v>
      </c>
      <c r="H172" s="212">
        <v>373534873</v>
      </c>
      <c r="I172" s="213">
        <v>273265900</v>
      </c>
      <c r="J172" s="216" t="s">
        <v>2001</v>
      </c>
      <c r="K172" s="263" t="s">
        <v>55</v>
      </c>
      <c r="L172" s="306">
        <v>4</v>
      </c>
      <c r="M172" s="306">
        <v>3</v>
      </c>
      <c r="N172" s="273"/>
    </row>
    <row r="173" spans="1:14" s="73" customFormat="1" ht="49.5" customHeight="1" thickTop="1" thickBot="1" x14ac:dyDescent="0.25">
      <c r="A173" s="210" t="s">
        <v>712</v>
      </c>
      <c r="B173" s="627" t="s">
        <v>2522</v>
      </c>
      <c r="C173" s="211" t="s">
        <v>53</v>
      </c>
      <c r="D173" s="211">
        <v>3</v>
      </c>
      <c r="E173" s="211">
        <v>30</v>
      </c>
      <c r="F173" s="211">
        <v>3</v>
      </c>
      <c r="G173" s="211">
        <v>520</v>
      </c>
      <c r="H173" s="212">
        <v>230000000</v>
      </c>
      <c r="I173" s="213">
        <v>0</v>
      </c>
      <c r="J173" s="216" t="s">
        <v>2110</v>
      </c>
      <c r="K173" s="263" t="s">
        <v>25</v>
      </c>
      <c r="L173" s="306">
        <v>6</v>
      </c>
      <c r="M173" s="306">
        <v>0</v>
      </c>
      <c r="N173" s="273"/>
    </row>
    <row r="174" spans="1:14" s="73" customFormat="1" ht="49.5" customHeight="1" thickTop="1" thickBot="1" x14ac:dyDescent="0.25">
      <c r="A174" s="210" t="s">
        <v>712</v>
      </c>
      <c r="B174" s="627" t="s">
        <v>2522</v>
      </c>
      <c r="C174" s="211" t="s">
        <v>53</v>
      </c>
      <c r="D174" s="211">
        <v>2</v>
      </c>
      <c r="E174" s="211">
        <v>30</v>
      </c>
      <c r="F174" s="211">
        <v>3</v>
      </c>
      <c r="G174" s="211">
        <v>580</v>
      </c>
      <c r="H174" s="212">
        <v>30000000</v>
      </c>
      <c r="I174" s="213">
        <v>13000000</v>
      </c>
      <c r="J174" s="216" t="s">
        <v>652</v>
      </c>
      <c r="K174" s="263" t="s">
        <v>72</v>
      </c>
      <c r="L174" s="306">
        <v>20</v>
      </c>
      <c r="M174" s="306">
        <v>9</v>
      </c>
      <c r="N174" s="273"/>
    </row>
    <row r="175" spans="1:14" s="73" customFormat="1" ht="49.5" customHeight="1" thickTop="1" thickBot="1" x14ac:dyDescent="0.25">
      <c r="A175" s="210" t="s">
        <v>712</v>
      </c>
      <c r="B175" s="627" t="s">
        <v>2522</v>
      </c>
      <c r="C175" s="211" t="s">
        <v>53</v>
      </c>
      <c r="D175" s="211">
        <v>3</v>
      </c>
      <c r="E175" s="211">
        <v>30</v>
      </c>
      <c r="F175" s="211">
        <v>3</v>
      </c>
      <c r="G175" s="211">
        <v>590</v>
      </c>
      <c r="H175" s="212">
        <v>25000000</v>
      </c>
      <c r="I175" s="213">
        <v>0</v>
      </c>
      <c r="J175" s="216" t="s">
        <v>2002</v>
      </c>
      <c r="K175" s="263" t="s">
        <v>25</v>
      </c>
      <c r="L175" s="306">
        <v>4</v>
      </c>
      <c r="M175" s="306">
        <v>0</v>
      </c>
      <c r="N175" s="273"/>
    </row>
    <row r="176" spans="1:14" s="73" customFormat="1" ht="56.25" customHeight="1" thickTop="1" thickBot="1" x14ac:dyDescent="0.25">
      <c r="A176" s="210" t="s">
        <v>712</v>
      </c>
      <c r="B176" s="627" t="s">
        <v>2522</v>
      </c>
      <c r="C176" s="211" t="s">
        <v>53</v>
      </c>
      <c r="D176" s="211">
        <v>3</v>
      </c>
      <c r="E176" s="211">
        <v>30</v>
      </c>
      <c r="F176" s="211">
        <v>3</v>
      </c>
      <c r="G176" s="211">
        <v>590</v>
      </c>
      <c r="H176" s="212">
        <v>198384377</v>
      </c>
      <c r="I176" s="213">
        <v>25000000</v>
      </c>
      <c r="J176" s="216" t="s">
        <v>653</v>
      </c>
      <c r="K176" s="263" t="s">
        <v>108</v>
      </c>
      <c r="L176" s="306">
        <v>30</v>
      </c>
      <c r="M176" s="306">
        <v>4</v>
      </c>
      <c r="N176" s="273"/>
    </row>
    <row r="177" spans="1:14" s="54" customFormat="1" ht="16.5" thickTop="1" thickBot="1" x14ac:dyDescent="0.3">
      <c r="A177" s="120"/>
      <c r="B177" s="85"/>
      <c r="C177" s="86"/>
      <c r="D177" s="45"/>
      <c r="E177" s="45"/>
      <c r="F177" s="45"/>
      <c r="G177" s="45"/>
      <c r="H177" s="88"/>
      <c r="I177" s="88"/>
      <c r="J177" s="87"/>
      <c r="K177" s="46"/>
      <c r="L177" s="56"/>
      <c r="M177" s="56"/>
      <c r="N177" s="269"/>
    </row>
    <row r="178" spans="1:14" s="73" customFormat="1" ht="30" customHeight="1" thickTop="1" thickBot="1" x14ac:dyDescent="0.25">
      <c r="A178" s="639" t="s">
        <v>1</v>
      </c>
      <c r="B178" s="639" t="s">
        <v>0</v>
      </c>
      <c r="C178" s="639" t="s">
        <v>2569</v>
      </c>
      <c r="D178" s="636" t="s">
        <v>1961</v>
      </c>
      <c r="E178" s="637"/>
      <c r="F178" s="637"/>
      <c r="G178" s="638"/>
      <c r="H178" s="636" t="s">
        <v>3</v>
      </c>
      <c r="I178" s="637"/>
      <c r="J178" s="636" t="s">
        <v>1962</v>
      </c>
      <c r="K178" s="637"/>
      <c r="L178" s="637"/>
      <c r="M178" s="638"/>
      <c r="N178" s="273"/>
    </row>
    <row r="179" spans="1:14" s="73" customFormat="1" ht="34.5" customHeight="1" thickTop="1" thickBot="1" x14ac:dyDescent="0.25">
      <c r="A179" s="640"/>
      <c r="B179" s="640"/>
      <c r="C179" s="640"/>
      <c r="D179" s="209" t="s">
        <v>4</v>
      </c>
      <c r="E179" s="209" t="s">
        <v>5</v>
      </c>
      <c r="F179" s="209" t="s">
        <v>6</v>
      </c>
      <c r="G179" s="209" t="s">
        <v>7</v>
      </c>
      <c r="H179" s="209" t="s">
        <v>2</v>
      </c>
      <c r="I179" s="209" t="s">
        <v>3</v>
      </c>
      <c r="J179" s="209" t="s">
        <v>8</v>
      </c>
      <c r="K179" s="261" t="s">
        <v>9</v>
      </c>
      <c r="L179" s="261" t="s">
        <v>1963</v>
      </c>
      <c r="M179" s="261" t="s">
        <v>1964</v>
      </c>
      <c r="N179" s="273"/>
    </row>
    <row r="180" spans="1:14" s="73" customFormat="1" ht="48.75" customHeight="1" thickTop="1" thickBot="1" x14ac:dyDescent="0.25">
      <c r="A180" s="210" t="s">
        <v>713</v>
      </c>
      <c r="B180" s="211" t="s">
        <v>2522</v>
      </c>
      <c r="C180" s="211" t="s">
        <v>53</v>
      </c>
      <c r="D180" s="211">
        <v>2</v>
      </c>
      <c r="E180" s="211">
        <v>30</v>
      </c>
      <c r="F180" s="211">
        <v>3</v>
      </c>
      <c r="G180" s="211">
        <v>520</v>
      </c>
      <c r="H180" s="212">
        <v>279229117</v>
      </c>
      <c r="I180" s="213">
        <v>278848000</v>
      </c>
      <c r="J180" s="216" t="s">
        <v>655</v>
      </c>
      <c r="K180" s="263" t="s">
        <v>55</v>
      </c>
      <c r="L180" s="306">
        <v>6</v>
      </c>
      <c r="M180" s="306">
        <v>3</v>
      </c>
      <c r="N180" s="273"/>
    </row>
    <row r="181" spans="1:14" s="73" customFormat="1" ht="51" customHeight="1" thickTop="1" thickBot="1" x14ac:dyDescent="0.25">
      <c r="A181" s="210" t="s">
        <v>713</v>
      </c>
      <c r="B181" s="627" t="s">
        <v>2522</v>
      </c>
      <c r="C181" s="211" t="s">
        <v>53</v>
      </c>
      <c r="D181" s="211">
        <v>2</v>
      </c>
      <c r="E181" s="211">
        <v>30</v>
      </c>
      <c r="F181" s="211">
        <v>3</v>
      </c>
      <c r="G181" s="211">
        <v>520</v>
      </c>
      <c r="H181" s="212">
        <v>274583333</v>
      </c>
      <c r="I181" s="213">
        <v>273000000</v>
      </c>
      <c r="J181" s="216" t="s">
        <v>656</v>
      </c>
      <c r="K181" s="263" t="s">
        <v>82</v>
      </c>
      <c r="L181" s="306">
        <v>70</v>
      </c>
      <c r="M181" s="306">
        <v>35</v>
      </c>
      <c r="N181" s="273"/>
    </row>
    <row r="182" spans="1:14" s="73" customFormat="1" ht="42" customHeight="1" thickTop="1" thickBot="1" x14ac:dyDescent="0.25">
      <c r="A182" s="210" t="s">
        <v>713</v>
      </c>
      <c r="B182" s="627" t="s">
        <v>2522</v>
      </c>
      <c r="C182" s="211" t="s">
        <v>18</v>
      </c>
      <c r="D182" s="211">
        <v>2</v>
      </c>
      <c r="E182" s="211">
        <v>30</v>
      </c>
      <c r="F182" s="211">
        <v>3</v>
      </c>
      <c r="G182" s="211">
        <v>848</v>
      </c>
      <c r="H182" s="212">
        <v>225562477</v>
      </c>
      <c r="I182" s="213">
        <v>206390000</v>
      </c>
      <c r="J182" s="216" t="s">
        <v>657</v>
      </c>
      <c r="K182" s="263" t="s">
        <v>20</v>
      </c>
      <c r="L182" s="306">
        <v>340</v>
      </c>
      <c r="M182" s="306">
        <v>330</v>
      </c>
      <c r="N182" s="273"/>
    </row>
    <row r="183" spans="1:14" s="72" customFormat="1" ht="14.25" thickTop="1" thickBot="1" x14ac:dyDescent="0.25">
      <c r="A183" s="65"/>
      <c r="B183" s="97"/>
      <c r="C183" s="124"/>
      <c r="D183" s="124"/>
      <c r="E183" s="124"/>
      <c r="F183" s="124"/>
      <c r="G183" s="124"/>
      <c r="H183" s="25"/>
      <c r="I183" s="25"/>
      <c r="J183" s="125"/>
      <c r="K183" s="125"/>
      <c r="L183" s="126"/>
      <c r="M183" s="126"/>
      <c r="N183" s="276"/>
    </row>
    <row r="184" spans="1:14" s="73" customFormat="1" ht="30" customHeight="1" thickTop="1" thickBot="1" x14ac:dyDescent="0.25">
      <c r="A184" s="639" t="s">
        <v>0</v>
      </c>
      <c r="B184" s="639" t="s">
        <v>1</v>
      </c>
      <c r="C184" s="639" t="s">
        <v>2569</v>
      </c>
      <c r="D184" s="636" t="s">
        <v>1961</v>
      </c>
      <c r="E184" s="637"/>
      <c r="F184" s="637"/>
      <c r="G184" s="638"/>
      <c r="H184" s="636" t="s">
        <v>3</v>
      </c>
      <c r="I184" s="637"/>
      <c r="J184" s="636" t="s">
        <v>1962</v>
      </c>
      <c r="K184" s="637"/>
      <c r="L184" s="637"/>
      <c r="M184" s="638"/>
      <c r="N184" s="273"/>
    </row>
    <row r="185" spans="1:14" s="73" customFormat="1" ht="34.5" customHeight="1" thickTop="1" thickBot="1" x14ac:dyDescent="0.25">
      <c r="A185" s="640"/>
      <c r="B185" s="640"/>
      <c r="C185" s="640"/>
      <c r="D185" s="209" t="s">
        <v>4</v>
      </c>
      <c r="E185" s="209" t="s">
        <v>5</v>
      </c>
      <c r="F185" s="209" t="s">
        <v>6</v>
      </c>
      <c r="G185" s="209" t="s">
        <v>7</v>
      </c>
      <c r="H185" s="209" t="s">
        <v>2</v>
      </c>
      <c r="I185" s="209" t="s">
        <v>3</v>
      </c>
      <c r="J185" s="209" t="s">
        <v>8</v>
      </c>
      <c r="K185" s="261" t="s">
        <v>9</v>
      </c>
      <c r="L185" s="261" t="s">
        <v>1963</v>
      </c>
      <c r="M185" s="261" t="s">
        <v>1964</v>
      </c>
      <c r="N185" s="273"/>
    </row>
    <row r="186" spans="1:14" s="3" customFormat="1" ht="55.5" customHeight="1" thickTop="1" thickBot="1" x14ac:dyDescent="0.25">
      <c r="A186" s="210" t="s">
        <v>2530</v>
      </c>
      <c r="B186" s="627" t="s">
        <v>2522</v>
      </c>
      <c r="C186" s="211" t="s">
        <v>18</v>
      </c>
      <c r="D186" s="211">
        <v>2</v>
      </c>
      <c r="E186" s="211">
        <v>30</v>
      </c>
      <c r="F186" s="211">
        <v>3</v>
      </c>
      <c r="G186" s="211">
        <v>848</v>
      </c>
      <c r="H186" s="212">
        <v>375632707</v>
      </c>
      <c r="I186" s="213">
        <v>239504500</v>
      </c>
      <c r="J186" s="216" t="s">
        <v>658</v>
      </c>
      <c r="K186" s="263" t="s">
        <v>20</v>
      </c>
      <c r="L186" s="306">
        <v>300</v>
      </c>
      <c r="M186" s="306">
        <v>300</v>
      </c>
      <c r="N186" s="277"/>
    </row>
    <row r="187" spans="1:14" s="3" customFormat="1" ht="46.5" customHeight="1" thickTop="1" thickBot="1" x14ac:dyDescent="0.25">
      <c r="A187" s="210" t="s">
        <v>2530</v>
      </c>
      <c r="B187" s="627" t="s">
        <v>2522</v>
      </c>
      <c r="C187" s="211" t="s">
        <v>53</v>
      </c>
      <c r="D187" s="211">
        <v>2</v>
      </c>
      <c r="E187" s="211">
        <v>30</v>
      </c>
      <c r="F187" s="211">
        <v>3</v>
      </c>
      <c r="G187" s="211">
        <v>520</v>
      </c>
      <c r="H187" s="212">
        <v>137013732</v>
      </c>
      <c r="I187" s="213">
        <v>0</v>
      </c>
      <c r="J187" s="216" t="s">
        <v>659</v>
      </c>
      <c r="K187" s="263" t="s">
        <v>55</v>
      </c>
      <c r="L187" s="306">
        <v>1</v>
      </c>
      <c r="M187" s="306">
        <v>0</v>
      </c>
      <c r="N187" s="277"/>
    </row>
    <row r="188" spans="1:14" s="3" customFormat="1" ht="46.5" customHeight="1" thickTop="1" thickBot="1" x14ac:dyDescent="0.25">
      <c r="A188" s="210" t="s">
        <v>2530</v>
      </c>
      <c r="B188" s="627" t="s">
        <v>2522</v>
      </c>
      <c r="C188" s="211" t="s">
        <v>53</v>
      </c>
      <c r="D188" s="211">
        <v>2</v>
      </c>
      <c r="E188" s="211">
        <v>30</v>
      </c>
      <c r="F188" s="211">
        <v>3</v>
      </c>
      <c r="G188" s="211">
        <v>520</v>
      </c>
      <c r="H188" s="212">
        <v>129500000</v>
      </c>
      <c r="I188" s="213">
        <v>100500000</v>
      </c>
      <c r="J188" s="216" t="s">
        <v>660</v>
      </c>
      <c r="K188" s="263" t="s">
        <v>55</v>
      </c>
      <c r="L188" s="306">
        <v>1</v>
      </c>
      <c r="M188" s="306">
        <v>1</v>
      </c>
      <c r="N188" s="277"/>
    </row>
    <row r="189" spans="1:14" s="3" customFormat="1" ht="46.5" customHeight="1" thickTop="1" thickBot="1" x14ac:dyDescent="0.25">
      <c r="A189" s="210" t="s">
        <v>2530</v>
      </c>
      <c r="B189" s="627" t="s">
        <v>2522</v>
      </c>
      <c r="C189" s="211" t="s">
        <v>53</v>
      </c>
      <c r="D189" s="211">
        <v>2</v>
      </c>
      <c r="E189" s="211">
        <v>30</v>
      </c>
      <c r="F189" s="211">
        <v>3</v>
      </c>
      <c r="G189" s="211">
        <v>520</v>
      </c>
      <c r="H189" s="212">
        <v>129500000</v>
      </c>
      <c r="I189" s="213">
        <v>31880080</v>
      </c>
      <c r="J189" s="216" t="s">
        <v>661</v>
      </c>
      <c r="K189" s="263" t="s">
        <v>103</v>
      </c>
      <c r="L189" s="306">
        <v>1</v>
      </c>
      <c r="M189" s="306">
        <v>1</v>
      </c>
      <c r="N189" s="277"/>
    </row>
    <row r="190" spans="1:14" s="3" customFormat="1" ht="46.5" customHeight="1" thickTop="1" thickBot="1" x14ac:dyDescent="0.25">
      <c r="A190" s="210" t="s">
        <v>2530</v>
      </c>
      <c r="B190" s="627" t="s">
        <v>2522</v>
      </c>
      <c r="C190" s="211" t="s">
        <v>53</v>
      </c>
      <c r="D190" s="211">
        <v>2</v>
      </c>
      <c r="E190" s="211">
        <v>30</v>
      </c>
      <c r="F190" s="211">
        <v>3</v>
      </c>
      <c r="G190" s="211">
        <v>520</v>
      </c>
      <c r="H190" s="212">
        <v>108805000</v>
      </c>
      <c r="I190" s="213">
        <v>84000000</v>
      </c>
      <c r="J190" s="216" t="s">
        <v>662</v>
      </c>
      <c r="K190" s="263" t="s">
        <v>55</v>
      </c>
      <c r="L190" s="306">
        <v>1</v>
      </c>
      <c r="M190" s="306">
        <v>1</v>
      </c>
      <c r="N190" s="277"/>
    </row>
    <row r="191" spans="1:14" s="3" customFormat="1" ht="46.5" customHeight="1" thickTop="1" thickBot="1" x14ac:dyDescent="0.25">
      <c r="A191" s="210" t="s">
        <v>2530</v>
      </c>
      <c r="B191" s="627" t="s">
        <v>2522</v>
      </c>
      <c r="C191" s="211" t="s">
        <v>53</v>
      </c>
      <c r="D191" s="211">
        <v>2</v>
      </c>
      <c r="E191" s="211">
        <v>30</v>
      </c>
      <c r="F191" s="211">
        <v>3</v>
      </c>
      <c r="G191" s="211">
        <v>520</v>
      </c>
      <c r="H191" s="212">
        <v>63690000</v>
      </c>
      <c r="I191" s="213">
        <v>63690000</v>
      </c>
      <c r="J191" s="216" t="s">
        <v>663</v>
      </c>
      <c r="K191" s="263" t="s">
        <v>13</v>
      </c>
      <c r="L191" s="306">
        <v>1</v>
      </c>
      <c r="M191" s="306">
        <v>1</v>
      </c>
      <c r="N191" s="277"/>
    </row>
    <row r="192" spans="1:14" s="3" customFormat="1" ht="46.5" customHeight="1" thickTop="1" thickBot="1" x14ac:dyDescent="0.25">
      <c r="A192" s="210" t="s">
        <v>2530</v>
      </c>
      <c r="B192" s="627" t="s">
        <v>2522</v>
      </c>
      <c r="C192" s="211" t="s">
        <v>53</v>
      </c>
      <c r="D192" s="211">
        <v>2</v>
      </c>
      <c r="E192" s="211">
        <v>30</v>
      </c>
      <c r="F192" s="211">
        <v>3</v>
      </c>
      <c r="G192" s="211">
        <v>520</v>
      </c>
      <c r="H192" s="212">
        <v>86355160</v>
      </c>
      <c r="I192" s="213">
        <v>86355160</v>
      </c>
      <c r="J192" s="216" t="s">
        <v>664</v>
      </c>
      <c r="K192" s="263" t="s">
        <v>55</v>
      </c>
      <c r="L192" s="306">
        <v>6</v>
      </c>
      <c r="M192" s="306">
        <v>6</v>
      </c>
      <c r="N192" s="277"/>
    </row>
    <row r="193" spans="1:14" s="3" customFormat="1" ht="46.5" customHeight="1" thickTop="1" thickBot="1" x14ac:dyDescent="0.25">
      <c r="A193" s="210" t="s">
        <v>2530</v>
      </c>
      <c r="B193" s="627" t="s">
        <v>2522</v>
      </c>
      <c r="C193" s="211" t="s">
        <v>53</v>
      </c>
      <c r="D193" s="211">
        <v>2</v>
      </c>
      <c r="E193" s="211">
        <v>30</v>
      </c>
      <c r="F193" s="211">
        <v>3</v>
      </c>
      <c r="G193" s="211">
        <v>520</v>
      </c>
      <c r="H193" s="212">
        <v>24145200</v>
      </c>
      <c r="I193" s="213">
        <v>24145200</v>
      </c>
      <c r="J193" s="216" t="s">
        <v>665</v>
      </c>
      <c r="K193" s="263" t="s">
        <v>103</v>
      </c>
      <c r="L193" s="306">
        <v>1</v>
      </c>
      <c r="M193" s="306">
        <v>1</v>
      </c>
      <c r="N193" s="277"/>
    </row>
    <row r="194" spans="1:14" s="3" customFormat="1" ht="46.5" customHeight="1" thickTop="1" thickBot="1" x14ac:dyDescent="0.25">
      <c r="A194" s="210" t="s">
        <v>2530</v>
      </c>
      <c r="B194" s="627" t="s">
        <v>2522</v>
      </c>
      <c r="C194" s="211" t="s">
        <v>53</v>
      </c>
      <c r="D194" s="211">
        <v>2</v>
      </c>
      <c r="E194" s="211">
        <v>30</v>
      </c>
      <c r="F194" s="211">
        <v>3</v>
      </c>
      <c r="G194" s="211">
        <v>520</v>
      </c>
      <c r="H194" s="212">
        <v>20012000</v>
      </c>
      <c r="I194" s="213">
        <v>20012000</v>
      </c>
      <c r="J194" s="216" t="s">
        <v>666</v>
      </c>
      <c r="K194" s="263" t="s">
        <v>212</v>
      </c>
      <c r="L194" s="306">
        <v>200</v>
      </c>
      <c r="M194" s="306">
        <v>200</v>
      </c>
      <c r="N194" s="277"/>
    </row>
    <row r="195" spans="1:14" s="3" customFormat="1" ht="62.25" customHeight="1" thickTop="1" thickBot="1" x14ac:dyDescent="0.25">
      <c r="A195" s="210" t="s">
        <v>2530</v>
      </c>
      <c r="B195" s="627" t="s">
        <v>2522</v>
      </c>
      <c r="C195" s="211" t="s">
        <v>53</v>
      </c>
      <c r="D195" s="211">
        <v>2</v>
      </c>
      <c r="E195" s="211">
        <v>30</v>
      </c>
      <c r="F195" s="211">
        <v>3</v>
      </c>
      <c r="G195" s="211">
        <v>520</v>
      </c>
      <c r="H195" s="212">
        <v>12455222</v>
      </c>
      <c r="I195" s="213">
        <v>12455222</v>
      </c>
      <c r="J195" s="216" t="s">
        <v>667</v>
      </c>
      <c r="K195" s="263" t="s">
        <v>103</v>
      </c>
      <c r="L195" s="306">
        <v>1</v>
      </c>
      <c r="M195" s="306">
        <v>1</v>
      </c>
      <c r="N195" s="277"/>
    </row>
    <row r="196" spans="1:14" s="3" customFormat="1" ht="49.5" customHeight="1" thickTop="1" thickBot="1" x14ac:dyDescent="0.25">
      <c r="A196" s="210" t="s">
        <v>2530</v>
      </c>
      <c r="B196" s="627" t="s">
        <v>2522</v>
      </c>
      <c r="C196" s="211" t="s">
        <v>53</v>
      </c>
      <c r="D196" s="211">
        <v>2</v>
      </c>
      <c r="E196" s="211">
        <v>30</v>
      </c>
      <c r="F196" s="211">
        <v>3</v>
      </c>
      <c r="G196" s="211">
        <v>520</v>
      </c>
      <c r="H196" s="212">
        <v>165000000</v>
      </c>
      <c r="I196" s="213">
        <v>165000000</v>
      </c>
      <c r="J196" s="216" t="s">
        <v>668</v>
      </c>
      <c r="K196" s="263" t="s">
        <v>15</v>
      </c>
      <c r="L196" s="306">
        <v>1</v>
      </c>
      <c r="M196" s="306">
        <v>1</v>
      </c>
      <c r="N196" s="277"/>
    </row>
    <row r="197" spans="1:14" s="54" customFormat="1" ht="16.5" thickTop="1" thickBot="1" x14ac:dyDescent="0.3">
      <c r="A197" s="120"/>
      <c r="B197" s="85"/>
      <c r="C197" s="45"/>
      <c r="D197" s="45"/>
      <c r="E197" s="45"/>
      <c r="F197" s="45"/>
      <c r="G197" s="45"/>
      <c r="H197" s="88"/>
      <c r="I197" s="88"/>
      <c r="J197" s="87"/>
      <c r="K197" s="46"/>
      <c r="L197" s="56"/>
      <c r="M197" s="56"/>
      <c r="N197" s="269"/>
    </row>
    <row r="198" spans="1:14" s="73" customFormat="1" ht="30" customHeight="1" thickTop="1" thickBot="1" x14ac:dyDescent="0.25">
      <c r="A198" s="639" t="s">
        <v>0</v>
      </c>
      <c r="B198" s="639" t="s">
        <v>1</v>
      </c>
      <c r="C198" s="639" t="s">
        <v>2569</v>
      </c>
      <c r="D198" s="636" t="s">
        <v>1961</v>
      </c>
      <c r="E198" s="637"/>
      <c r="F198" s="637"/>
      <c r="G198" s="638"/>
      <c r="H198" s="636" t="s">
        <v>3</v>
      </c>
      <c r="I198" s="637"/>
      <c r="J198" s="636" t="s">
        <v>1962</v>
      </c>
      <c r="K198" s="637"/>
      <c r="L198" s="637"/>
      <c r="M198" s="638"/>
      <c r="N198" s="273"/>
    </row>
    <row r="199" spans="1:14" s="73" customFormat="1" ht="34.5" customHeight="1" thickTop="1" thickBot="1" x14ac:dyDescent="0.25">
      <c r="A199" s="640"/>
      <c r="B199" s="640"/>
      <c r="C199" s="640"/>
      <c r="D199" s="209" t="s">
        <v>4</v>
      </c>
      <c r="E199" s="209" t="s">
        <v>5</v>
      </c>
      <c r="F199" s="209" t="s">
        <v>6</v>
      </c>
      <c r="G199" s="209" t="s">
        <v>7</v>
      </c>
      <c r="H199" s="209" t="s">
        <v>2</v>
      </c>
      <c r="I199" s="209" t="s">
        <v>3</v>
      </c>
      <c r="J199" s="209" t="s">
        <v>8</v>
      </c>
      <c r="K199" s="261" t="s">
        <v>9</v>
      </c>
      <c r="L199" s="261" t="s">
        <v>1963</v>
      </c>
      <c r="M199" s="261" t="s">
        <v>1964</v>
      </c>
      <c r="N199" s="273"/>
    </row>
    <row r="200" spans="1:14" s="3" customFormat="1" ht="46.5" thickTop="1" thickBot="1" x14ac:dyDescent="0.25">
      <c r="A200" s="210" t="s">
        <v>714</v>
      </c>
      <c r="B200" s="627" t="s">
        <v>2522</v>
      </c>
      <c r="C200" s="211" t="s">
        <v>18</v>
      </c>
      <c r="D200" s="211">
        <v>3</v>
      </c>
      <c r="E200" s="211">
        <v>30</v>
      </c>
      <c r="F200" s="211">
        <v>3</v>
      </c>
      <c r="G200" s="211">
        <v>848</v>
      </c>
      <c r="H200" s="212">
        <v>427315263</v>
      </c>
      <c r="I200" s="213">
        <v>337702400</v>
      </c>
      <c r="J200" s="216" t="s">
        <v>669</v>
      </c>
      <c r="K200" s="263" t="s">
        <v>20</v>
      </c>
      <c r="L200" s="306">
        <v>1000</v>
      </c>
      <c r="M200" s="306">
        <v>518</v>
      </c>
      <c r="N200" s="277"/>
    </row>
    <row r="201" spans="1:14" s="3" customFormat="1" ht="49.5" customHeight="1" thickTop="1" thickBot="1" x14ac:dyDescent="0.25">
      <c r="A201" s="210" t="s">
        <v>714</v>
      </c>
      <c r="B201" s="627" t="s">
        <v>2522</v>
      </c>
      <c r="C201" s="211" t="s">
        <v>53</v>
      </c>
      <c r="D201" s="211">
        <v>3</v>
      </c>
      <c r="E201" s="211">
        <v>30</v>
      </c>
      <c r="F201" s="211">
        <v>3</v>
      </c>
      <c r="G201" s="211">
        <v>520</v>
      </c>
      <c r="H201" s="212">
        <v>85000000</v>
      </c>
      <c r="I201" s="213">
        <v>54660612</v>
      </c>
      <c r="J201" s="216" t="s">
        <v>2115</v>
      </c>
      <c r="K201" s="263" t="s">
        <v>670</v>
      </c>
      <c r="L201" s="306">
        <v>400</v>
      </c>
      <c r="M201" s="306">
        <v>400</v>
      </c>
      <c r="N201" s="277"/>
    </row>
    <row r="202" spans="1:14" s="3" customFormat="1" ht="49.5" customHeight="1" thickTop="1" thickBot="1" x14ac:dyDescent="0.25">
      <c r="A202" s="210" t="s">
        <v>714</v>
      </c>
      <c r="B202" s="627" t="s">
        <v>2522</v>
      </c>
      <c r="C202" s="211" t="s">
        <v>53</v>
      </c>
      <c r="D202" s="211">
        <v>3</v>
      </c>
      <c r="E202" s="211">
        <v>30</v>
      </c>
      <c r="F202" s="211">
        <v>3</v>
      </c>
      <c r="G202" s="211">
        <v>520</v>
      </c>
      <c r="H202" s="212">
        <v>45000000</v>
      </c>
      <c r="I202" s="213">
        <v>26298905</v>
      </c>
      <c r="J202" s="216" t="s">
        <v>2116</v>
      </c>
      <c r="K202" s="263" t="s">
        <v>103</v>
      </c>
      <c r="L202" s="306">
        <v>1</v>
      </c>
      <c r="M202" s="306">
        <v>1</v>
      </c>
      <c r="N202" s="277"/>
    </row>
    <row r="203" spans="1:14" s="3" customFormat="1" ht="49.5" customHeight="1" thickTop="1" thickBot="1" x14ac:dyDescent="0.25">
      <c r="A203" s="210" t="s">
        <v>714</v>
      </c>
      <c r="B203" s="627" t="s">
        <v>2522</v>
      </c>
      <c r="C203" s="211" t="s">
        <v>53</v>
      </c>
      <c r="D203" s="211">
        <v>3</v>
      </c>
      <c r="E203" s="211">
        <v>30</v>
      </c>
      <c r="F203" s="211">
        <v>3</v>
      </c>
      <c r="G203" s="211">
        <v>520</v>
      </c>
      <c r="H203" s="212">
        <v>95000000</v>
      </c>
      <c r="I203" s="213">
        <v>44187500</v>
      </c>
      <c r="J203" s="216" t="s">
        <v>671</v>
      </c>
      <c r="K203" s="263" t="s">
        <v>55</v>
      </c>
      <c r="L203" s="306">
        <v>1</v>
      </c>
      <c r="M203" s="306">
        <v>1</v>
      </c>
      <c r="N203" s="277"/>
    </row>
    <row r="204" spans="1:14" s="3" customFormat="1" ht="49.5" customHeight="1" thickTop="1" thickBot="1" x14ac:dyDescent="0.25">
      <c r="A204" s="210" t="s">
        <v>714</v>
      </c>
      <c r="B204" s="627" t="s">
        <v>2522</v>
      </c>
      <c r="C204" s="211" t="s">
        <v>53</v>
      </c>
      <c r="D204" s="211">
        <v>3</v>
      </c>
      <c r="E204" s="211">
        <v>30</v>
      </c>
      <c r="F204" s="211">
        <v>3</v>
      </c>
      <c r="G204" s="211">
        <v>520</v>
      </c>
      <c r="H204" s="212">
        <v>45000000</v>
      </c>
      <c r="I204" s="213">
        <v>13116000</v>
      </c>
      <c r="J204" s="216" t="s">
        <v>2117</v>
      </c>
      <c r="K204" s="263" t="s">
        <v>103</v>
      </c>
      <c r="L204" s="306">
        <v>1</v>
      </c>
      <c r="M204" s="306">
        <v>0</v>
      </c>
      <c r="N204" s="277"/>
    </row>
    <row r="205" spans="1:14" s="3" customFormat="1" ht="49.5" customHeight="1" thickTop="1" thickBot="1" x14ac:dyDescent="0.25">
      <c r="A205" s="210" t="s">
        <v>714</v>
      </c>
      <c r="B205" s="627" t="s">
        <v>2522</v>
      </c>
      <c r="C205" s="211" t="s">
        <v>53</v>
      </c>
      <c r="D205" s="211">
        <v>3</v>
      </c>
      <c r="E205" s="211">
        <v>30</v>
      </c>
      <c r="F205" s="211">
        <v>3</v>
      </c>
      <c r="G205" s="211">
        <v>520</v>
      </c>
      <c r="H205" s="212">
        <v>166492331</v>
      </c>
      <c r="I205" s="213">
        <v>160937409</v>
      </c>
      <c r="J205" s="216" t="s">
        <v>672</v>
      </c>
      <c r="K205" s="263" t="s">
        <v>55</v>
      </c>
      <c r="L205" s="306">
        <v>2</v>
      </c>
      <c r="M205" s="306">
        <v>2</v>
      </c>
      <c r="N205" s="277"/>
    </row>
    <row r="206" spans="1:14" s="3" customFormat="1" ht="49.5" customHeight="1" thickTop="1" thickBot="1" x14ac:dyDescent="0.25">
      <c r="A206" s="210" t="s">
        <v>714</v>
      </c>
      <c r="B206" s="627" t="s">
        <v>2522</v>
      </c>
      <c r="C206" s="211" t="s">
        <v>53</v>
      </c>
      <c r="D206" s="211">
        <v>3</v>
      </c>
      <c r="E206" s="211">
        <v>30</v>
      </c>
      <c r="F206" s="211">
        <v>3</v>
      </c>
      <c r="G206" s="211">
        <v>520</v>
      </c>
      <c r="H206" s="212">
        <v>103559948</v>
      </c>
      <c r="I206" s="213">
        <v>0</v>
      </c>
      <c r="J206" s="216" t="s">
        <v>2113</v>
      </c>
      <c r="K206" s="263" t="s">
        <v>55</v>
      </c>
      <c r="L206" s="306">
        <v>1</v>
      </c>
      <c r="M206" s="306">
        <v>0</v>
      </c>
      <c r="N206" s="277"/>
    </row>
    <row r="207" spans="1:14" s="3" customFormat="1" ht="49.5" customHeight="1" thickTop="1" thickBot="1" x14ac:dyDescent="0.25">
      <c r="A207" s="210" t="s">
        <v>714</v>
      </c>
      <c r="B207" s="627" t="s">
        <v>2522</v>
      </c>
      <c r="C207" s="211" t="s">
        <v>53</v>
      </c>
      <c r="D207" s="211">
        <v>3</v>
      </c>
      <c r="E207" s="211">
        <v>30</v>
      </c>
      <c r="F207" s="211">
        <v>3</v>
      </c>
      <c r="G207" s="211">
        <v>520</v>
      </c>
      <c r="H207" s="212">
        <v>85000000</v>
      </c>
      <c r="I207" s="213">
        <v>22940000</v>
      </c>
      <c r="J207" s="216" t="s">
        <v>2114</v>
      </c>
      <c r="K207" s="263" t="s">
        <v>55</v>
      </c>
      <c r="L207" s="306">
        <v>1</v>
      </c>
      <c r="M207" s="306">
        <v>0</v>
      </c>
      <c r="N207" s="277"/>
    </row>
    <row r="208" spans="1:14" s="3" customFormat="1" ht="49.5" customHeight="1" thickTop="1" thickBot="1" x14ac:dyDescent="0.25">
      <c r="A208" s="210" t="s">
        <v>714</v>
      </c>
      <c r="B208" s="627" t="s">
        <v>2522</v>
      </c>
      <c r="C208" s="211" t="s">
        <v>53</v>
      </c>
      <c r="D208" s="211">
        <v>3</v>
      </c>
      <c r="E208" s="211">
        <v>30</v>
      </c>
      <c r="F208" s="211">
        <v>3</v>
      </c>
      <c r="G208" s="211">
        <v>520</v>
      </c>
      <c r="H208" s="212">
        <v>140000000</v>
      </c>
      <c r="I208" s="213">
        <v>35201430</v>
      </c>
      <c r="J208" s="216" t="s">
        <v>673</v>
      </c>
      <c r="K208" s="263" t="s">
        <v>103</v>
      </c>
      <c r="L208" s="306">
        <v>2</v>
      </c>
      <c r="M208" s="306">
        <v>2</v>
      </c>
      <c r="N208" s="277"/>
    </row>
    <row r="209" spans="1:14" s="3" customFormat="1" ht="49.5" customHeight="1" thickTop="1" thickBot="1" x14ac:dyDescent="0.25">
      <c r="A209" s="210" t="s">
        <v>714</v>
      </c>
      <c r="B209" s="627" t="s">
        <v>2522</v>
      </c>
      <c r="C209" s="211" t="s">
        <v>53</v>
      </c>
      <c r="D209" s="211">
        <v>3</v>
      </c>
      <c r="E209" s="211">
        <v>30</v>
      </c>
      <c r="F209" s="211">
        <v>3</v>
      </c>
      <c r="G209" s="211">
        <v>520</v>
      </c>
      <c r="H209" s="212">
        <v>125350000</v>
      </c>
      <c r="I209" s="213">
        <v>125350000</v>
      </c>
      <c r="J209" s="216" t="s">
        <v>674</v>
      </c>
      <c r="K209" s="263" t="s">
        <v>55</v>
      </c>
      <c r="L209" s="306">
        <v>1</v>
      </c>
      <c r="M209" s="306">
        <v>1</v>
      </c>
      <c r="N209" s="277"/>
    </row>
    <row r="210" spans="1:14" s="3" customFormat="1" ht="39.75" customHeight="1" thickTop="1" thickBot="1" x14ac:dyDescent="0.25">
      <c r="A210" s="210" t="s">
        <v>714</v>
      </c>
      <c r="B210" s="627" t="s">
        <v>2522</v>
      </c>
      <c r="C210" s="211" t="s">
        <v>105</v>
      </c>
      <c r="D210" s="211">
        <v>3</v>
      </c>
      <c r="E210" s="211">
        <v>30</v>
      </c>
      <c r="F210" s="211">
        <v>3</v>
      </c>
      <c r="G210" s="211">
        <v>540</v>
      </c>
      <c r="H210" s="212">
        <v>100000000</v>
      </c>
      <c r="I210" s="213">
        <v>0</v>
      </c>
      <c r="J210" s="216" t="s">
        <v>2118</v>
      </c>
      <c r="K210" s="259" t="s">
        <v>383</v>
      </c>
      <c r="L210" s="306">
        <v>30</v>
      </c>
      <c r="M210" s="306">
        <v>0</v>
      </c>
      <c r="N210" s="277"/>
    </row>
    <row r="211" spans="1:14" s="54" customFormat="1" ht="16.5" thickTop="1" thickBot="1" x14ac:dyDescent="0.3">
      <c r="A211" s="120"/>
      <c r="B211" s="80"/>
      <c r="C211" s="22"/>
      <c r="D211" s="45"/>
      <c r="E211" s="45"/>
      <c r="F211" s="45"/>
      <c r="G211" s="45"/>
      <c r="H211" s="55"/>
      <c r="I211" s="55"/>
      <c r="J211" s="48"/>
      <c r="K211" s="46"/>
      <c r="L211" s="48"/>
      <c r="M211" s="48"/>
      <c r="N211" s="269"/>
    </row>
    <row r="212" spans="1:14" s="73" customFormat="1" ht="30" customHeight="1" thickTop="1" thickBot="1" x14ac:dyDescent="0.25">
      <c r="A212" s="639" t="s">
        <v>0</v>
      </c>
      <c r="B212" s="639" t="s">
        <v>1</v>
      </c>
      <c r="C212" s="639" t="s">
        <v>2569</v>
      </c>
      <c r="D212" s="636" t="s">
        <v>1961</v>
      </c>
      <c r="E212" s="637"/>
      <c r="F212" s="637"/>
      <c r="G212" s="638"/>
      <c r="H212" s="636" t="s">
        <v>3</v>
      </c>
      <c r="I212" s="637"/>
      <c r="J212" s="636" t="s">
        <v>1962</v>
      </c>
      <c r="K212" s="637"/>
      <c r="L212" s="637"/>
      <c r="M212" s="638"/>
      <c r="N212" s="273"/>
    </row>
    <row r="213" spans="1:14" s="73" customFormat="1" ht="34.5" customHeight="1" thickTop="1" thickBot="1" x14ac:dyDescent="0.25">
      <c r="A213" s="640"/>
      <c r="B213" s="640"/>
      <c r="C213" s="640"/>
      <c r="D213" s="209" t="s">
        <v>4</v>
      </c>
      <c r="E213" s="209" t="s">
        <v>5</v>
      </c>
      <c r="F213" s="209" t="s">
        <v>6</v>
      </c>
      <c r="G213" s="209" t="s">
        <v>7</v>
      </c>
      <c r="H213" s="209" t="s">
        <v>2</v>
      </c>
      <c r="I213" s="209" t="s">
        <v>3</v>
      </c>
      <c r="J213" s="209" t="s">
        <v>8</v>
      </c>
      <c r="K213" s="261" t="s">
        <v>9</v>
      </c>
      <c r="L213" s="261" t="s">
        <v>1963</v>
      </c>
      <c r="M213" s="261" t="s">
        <v>1964</v>
      </c>
      <c r="N213" s="273"/>
    </row>
    <row r="214" spans="1:14" s="73" customFormat="1" ht="61.5" customHeight="1" thickTop="1" thickBot="1" x14ac:dyDescent="0.25">
      <c r="A214" s="210" t="s">
        <v>2531</v>
      </c>
      <c r="B214" s="420" t="s">
        <v>2522</v>
      </c>
      <c r="C214" s="420" t="s">
        <v>723</v>
      </c>
      <c r="D214" s="420">
        <v>3</v>
      </c>
      <c r="E214" s="420">
        <v>30</v>
      </c>
      <c r="F214" s="420" t="s">
        <v>297</v>
      </c>
      <c r="G214" s="420">
        <v>848</v>
      </c>
      <c r="H214" s="212">
        <v>414700223</v>
      </c>
      <c r="I214" s="213">
        <v>301270080</v>
      </c>
      <c r="J214" s="216" t="s">
        <v>724</v>
      </c>
      <c r="K214" s="263" t="s">
        <v>20</v>
      </c>
      <c r="L214" s="306">
        <v>433</v>
      </c>
      <c r="M214" s="306">
        <v>433</v>
      </c>
      <c r="N214" s="273"/>
    </row>
    <row r="215" spans="1:14" s="73" customFormat="1" ht="62.25" customHeight="1" thickTop="1" thickBot="1" x14ac:dyDescent="0.25">
      <c r="A215" s="210" t="s">
        <v>2531</v>
      </c>
      <c r="B215" s="627" t="s">
        <v>2522</v>
      </c>
      <c r="C215" s="413" t="s">
        <v>300</v>
      </c>
      <c r="D215" s="413">
        <v>2</v>
      </c>
      <c r="E215" s="307">
        <v>30</v>
      </c>
      <c r="F215" s="460" t="s">
        <v>297</v>
      </c>
      <c r="G215" s="307">
        <v>520</v>
      </c>
      <c r="H215" s="418">
        <v>340150000</v>
      </c>
      <c r="I215" s="418">
        <v>102045000</v>
      </c>
      <c r="J215" s="252" t="s">
        <v>725</v>
      </c>
      <c r="K215" s="310" t="s">
        <v>55</v>
      </c>
      <c r="L215" s="310">
        <v>5</v>
      </c>
      <c r="M215" s="310">
        <v>0</v>
      </c>
      <c r="N215" s="273"/>
    </row>
    <row r="216" spans="1:14" s="73" customFormat="1" ht="49.5" customHeight="1" thickTop="1" thickBot="1" x14ac:dyDescent="0.25">
      <c r="A216" s="210" t="s">
        <v>2531</v>
      </c>
      <c r="B216" s="627" t="s">
        <v>2522</v>
      </c>
      <c r="C216" s="413" t="s">
        <v>300</v>
      </c>
      <c r="D216" s="413">
        <v>2</v>
      </c>
      <c r="E216" s="307">
        <v>30</v>
      </c>
      <c r="F216" s="460" t="s">
        <v>297</v>
      </c>
      <c r="G216" s="307">
        <v>520</v>
      </c>
      <c r="H216" s="418">
        <v>91729798</v>
      </c>
      <c r="I216" s="418">
        <v>0</v>
      </c>
      <c r="J216" s="252" t="s">
        <v>726</v>
      </c>
      <c r="K216" s="310" t="s">
        <v>25</v>
      </c>
      <c r="L216" s="310">
        <v>1</v>
      </c>
      <c r="M216" s="310">
        <v>0</v>
      </c>
      <c r="N216" s="273"/>
    </row>
    <row r="217" spans="1:14" s="73" customFormat="1" ht="49.5" customHeight="1" thickTop="1" thickBot="1" x14ac:dyDescent="0.25">
      <c r="A217" s="210" t="s">
        <v>2531</v>
      </c>
      <c r="B217" s="627" t="s">
        <v>2522</v>
      </c>
      <c r="C217" s="413" t="s">
        <v>300</v>
      </c>
      <c r="D217" s="413">
        <v>2</v>
      </c>
      <c r="E217" s="307">
        <v>30</v>
      </c>
      <c r="F217" s="460" t="s">
        <v>297</v>
      </c>
      <c r="G217" s="307">
        <v>520</v>
      </c>
      <c r="H217" s="418">
        <v>200594698</v>
      </c>
      <c r="I217" s="418">
        <v>0</v>
      </c>
      <c r="J217" s="252" t="s">
        <v>727</v>
      </c>
      <c r="K217" s="310" t="s">
        <v>55</v>
      </c>
      <c r="L217" s="310">
        <v>3</v>
      </c>
      <c r="M217" s="310">
        <v>0</v>
      </c>
      <c r="N217" s="273"/>
    </row>
    <row r="218" spans="1:14" s="73" customFormat="1" ht="32.25" customHeight="1" thickTop="1" thickBot="1" x14ac:dyDescent="0.25">
      <c r="A218" s="210" t="s">
        <v>2531</v>
      </c>
      <c r="B218" s="627" t="s">
        <v>2522</v>
      </c>
      <c r="C218" s="654" t="s">
        <v>105</v>
      </c>
      <c r="D218" s="413">
        <v>2</v>
      </c>
      <c r="E218" s="307">
        <v>30</v>
      </c>
      <c r="F218" s="460" t="s">
        <v>297</v>
      </c>
      <c r="G218" s="307">
        <v>540</v>
      </c>
      <c r="H218" s="418">
        <v>50000000</v>
      </c>
      <c r="I218" s="418">
        <v>45000000</v>
      </c>
      <c r="J218" s="252" t="s">
        <v>728</v>
      </c>
      <c r="K218" s="310" t="s">
        <v>261</v>
      </c>
      <c r="L218" s="310">
        <v>300</v>
      </c>
      <c r="M218" s="310">
        <v>300</v>
      </c>
      <c r="N218" s="273"/>
    </row>
    <row r="219" spans="1:14" s="73" customFormat="1" ht="32.25" customHeight="1" thickTop="1" thickBot="1" x14ac:dyDescent="0.25">
      <c r="A219" s="210" t="s">
        <v>2531</v>
      </c>
      <c r="B219" s="627" t="s">
        <v>2522</v>
      </c>
      <c r="C219" s="654"/>
      <c r="D219" s="413">
        <v>2</v>
      </c>
      <c r="E219" s="307">
        <v>30</v>
      </c>
      <c r="F219" s="460" t="s">
        <v>297</v>
      </c>
      <c r="G219" s="307">
        <v>540</v>
      </c>
      <c r="H219" s="418">
        <v>50000000</v>
      </c>
      <c r="I219" s="418">
        <v>48000000</v>
      </c>
      <c r="J219" s="252" t="s">
        <v>729</v>
      </c>
      <c r="K219" s="310" t="s">
        <v>44</v>
      </c>
      <c r="L219" s="310">
        <v>300</v>
      </c>
      <c r="M219" s="310">
        <v>300</v>
      </c>
      <c r="N219" s="273"/>
    </row>
    <row r="220" spans="1:14" s="13" customFormat="1" ht="16.5" thickTop="1" thickBot="1" x14ac:dyDescent="0.3">
      <c r="A220" s="281"/>
      <c r="B220" s="282"/>
      <c r="C220" s="283"/>
      <c r="D220" s="283"/>
      <c r="E220" s="284"/>
      <c r="F220" s="285"/>
      <c r="G220" s="284"/>
      <c r="H220" s="286"/>
      <c r="I220" s="286"/>
      <c r="J220" s="287"/>
      <c r="K220" s="288"/>
      <c r="L220" s="288"/>
      <c r="M220" s="288"/>
      <c r="N220" s="278"/>
    </row>
    <row r="221" spans="1:14" s="73" customFormat="1" ht="30" customHeight="1" thickTop="1" thickBot="1" x14ac:dyDescent="0.25">
      <c r="A221" s="639" t="s">
        <v>0</v>
      </c>
      <c r="B221" s="639" t="s">
        <v>1</v>
      </c>
      <c r="C221" s="639" t="s">
        <v>2569</v>
      </c>
      <c r="D221" s="636" t="s">
        <v>1961</v>
      </c>
      <c r="E221" s="637"/>
      <c r="F221" s="637"/>
      <c r="G221" s="638"/>
      <c r="H221" s="636" t="s">
        <v>3</v>
      </c>
      <c r="I221" s="637"/>
      <c r="J221" s="636" t="s">
        <v>1962</v>
      </c>
      <c r="K221" s="637"/>
      <c r="L221" s="637"/>
      <c r="M221" s="638"/>
      <c r="N221" s="273"/>
    </row>
    <row r="222" spans="1:14" s="73" customFormat="1" ht="34.5" customHeight="1" thickTop="1" thickBot="1" x14ac:dyDescent="0.25">
      <c r="A222" s="640"/>
      <c r="B222" s="640"/>
      <c r="C222" s="640"/>
      <c r="D222" s="209" t="s">
        <v>4</v>
      </c>
      <c r="E222" s="209" t="s">
        <v>5</v>
      </c>
      <c r="F222" s="209" t="s">
        <v>6</v>
      </c>
      <c r="G222" s="209" t="s">
        <v>7</v>
      </c>
      <c r="H222" s="209" t="s">
        <v>2</v>
      </c>
      <c r="I222" s="209" t="s">
        <v>3</v>
      </c>
      <c r="J222" s="209" t="s">
        <v>8</v>
      </c>
      <c r="K222" s="261" t="s">
        <v>9</v>
      </c>
      <c r="L222" s="261" t="s">
        <v>1963</v>
      </c>
      <c r="M222" s="261" t="s">
        <v>1964</v>
      </c>
      <c r="N222" s="273"/>
    </row>
    <row r="223" spans="1:14" s="73" customFormat="1" ht="46.5" thickTop="1" thickBot="1" x14ac:dyDescent="0.25">
      <c r="A223" s="210" t="s">
        <v>722</v>
      </c>
      <c r="B223" s="211" t="s">
        <v>2522</v>
      </c>
      <c r="C223" s="211" t="s">
        <v>18</v>
      </c>
      <c r="D223" s="211">
        <v>3</v>
      </c>
      <c r="E223" s="211">
        <v>30</v>
      </c>
      <c r="F223" s="211">
        <v>3</v>
      </c>
      <c r="G223" s="211">
        <v>848</v>
      </c>
      <c r="H223" s="212">
        <v>280365389</v>
      </c>
      <c r="I223" s="213">
        <f>113476672+117714800</f>
        <v>231191472</v>
      </c>
      <c r="J223" s="216" t="s">
        <v>718</v>
      </c>
      <c r="K223" s="263" t="s">
        <v>20</v>
      </c>
      <c r="L223" s="306">
        <v>770</v>
      </c>
      <c r="M223" s="306">
        <v>770</v>
      </c>
      <c r="N223" s="273"/>
    </row>
    <row r="224" spans="1:14" s="73" customFormat="1" ht="48" customHeight="1" thickTop="1" thickBot="1" x14ac:dyDescent="0.25">
      <c r="A224" s="210" t="s">
        <v>722</v>
      </c>
      <c r="B224" s="627" t="s">
        <v>2522</v>
      </c>
      <c r="C224" s="211" t="s">
        <v>53</v>
      </c>
      <c r="D224" s="211">
        <v>3</v>
      </c>
      <c r="E224" s="211">
        <v>30</v>
      </c>
      <c r="F224" s="211">
        <v>3</v>
      </c>
      <c r="G224" s="211">
        <v>520</v>
      </c>
      <c r="H224" s="212">
        <v>325523648</v>
      </c>
      <c r="I224" s="213">
        <f>21951033+118048967+16306500</f>
        <v>156306500</v>
      </c>
      <c r="J224" s="216" t="s">
        <v>719</v>
      </c>
      <c r="K224" s="263" t="s">
        <v>55</v>
      </c>
      <c r="L224" s="306">
        <v>4</v>
      </c>
      <c r="M224" s="306">
        <v>2</v>
      </c>
      <c r="N224" s="273"/>
    </row>
    <row r="225" spans="1:14" s="73" customFormat="1" ht="47.25" customHeight="1" thickTop="1" thickBot="1" x14ac:dyDescent="0.25">
      <c r="A225" s="210" t="s">
        <v>722</v>
      </c>
      <c r="B225" s="627" t="s">
        <v>2522</v>
      </c>
      <c r="C225" s="211" t="s">
        <v>53</v>
      </c>
      <c r="D225" s="211">
        <v>3</v>
      </c>
      <c r="E225" s="211">
        <v>30</v>
      </c>
      <c r="F225" s="211">
        <v>3</v>
      </c>
      <c r="G225" s="211">
        <v>520</v>
      </c>
      <c r="H225" s="212">
        <v>227900000</v>
      </c>
      <c r="I225" s="213">
        <f>75545334+56897863+95410887</f>
        <v>227854084</v>
      </c>
      <c r="J225" s="216" t="s">
        <v>720</v>
      </c>
      <c r="K225" s="263" t="s">
        <v>495</v>
      </c>
      <c r="L225" s="306">
        <v>2</v>
      </c>
      <c r="M225" s="306">
        <v>2</v>
      </c>
      <c r="N225" s="273"/>
    </row>
    <row r="226" spans="1:14" s="73" customFormat="1" ht="38.25" customHeight="1" thickTop="1" thickBot="1" x14ac:dyDescent="0.25">
      <c r="A226" s="210" t="s">
        <v>722</v>
      </c>
      <c r="B226" s="627" t="s">
        <v>2522</v>
      </c>
      <c r="C226" s="211" t="s">
        <v>105</v>
      </c>
      <c r="D226" s="211">
        <v>3</v>
      </c>
      <c r="E226" s="211">
        <v>30</v>
      </c>
      <c r="F226" s="211">
        <v>3</v>
      </c>
      <c r="G226" s="211">
        <v>540</v>
      </c>
      <c r="H226" s="212">
        <v>100000000</v>
      </c>
      <c r="I226" s="213">
        <v>30000000</v>
      </c>
      <c r="J226" s="216" t="s">
        <v>721</v>
      </c>
      <c r="K226" s="263" t="s">
        <v>261</v>
      </c>
      <c r="L226" s="306">
        <v>500</v>
      </c>
      <c r="M226" s="306">
        <v>150</v>
      </c>
      <c r="N226" s="273"/>
    </row>
    <row r="227" spans="1:14" ht="15.75" thickTop="1" x14ac:dyDescent="0.25"/>
  </sheetData>
  <mergeCells count="143">
    <mergeCell ref="C125:C126"/>
    <mergeCell ref="A5:A6"/>
    <mergeCell ref="A18:A19"/>
    <mergeCell ref="A39:A40"/>
    <mergeCell ref="A48:A49"/>
    <mergeCell ref="A63:A64"/>
    <mergeCell ref="A70:A71"/>
    <mergeCell ref="A86:A87"/>
    <mergeCell ref="A93:A94"/>
    <mergeCell ref="A104:A105"/>
    <mergeCell ref="C93:C94"/>
    <mergeCell ref="B116:B117"/>
    <mergeCell ref="C116:C117"/>
    <mergeCell ref="C72:C73"/>
    <mergeCell ref="C13:C14"/>
    <mergeCell ref="A29:A30"/>
    <mergeCell ref="B29:B30"/>
    <mergeCell ref="C29:C30"/>
    <mergeCell ref="J5:M5"/>
    <mergeCell ref="H18:I18"/>
    <mergeCell ref="J18:M18"/>
    <mergeCell ref="H39:I39"/>
    <mergeCell ref="J39:M39"/>
    <mergeCell ref="H48:I48"/>
    <mergeCell ref="J48:M48"/>
    <mergeCell ref="H63:I63"/>
    <mergeCell ref="J63:M63"/>
    <mergeCell ref="H29:I29"/>
    <mergeCell ref="J29:M29"/>
    <mergeCell ref="B212:B213"/>
    <mergeCell ref="C212:C213"/>
    <mergeCell ref="D212:G212"/>
    <mergeCell ref="C218:C219"/>
    <mergeCell ref="B221:B222"/>
    <mergeCell ref="C221:C222"/>
    <mergeCell ref="D221:G221"/>
    <mergeCell ref="H149:I149"/>
    <mergeCell ref="H184:I184"/>
    <mergeCell ref="J149:M149"/>
    <mergeCell ref="H160:I160"/>
    <mergeCell ref="J160:M160"/>
    <mergeCell ref="H169:I169"/>
    <mergeCell ref="J169:M169"/>
    <mergeCell ref="B149:B150"/>
    <mergeCell ref="C149:C150"/>
    <mergeCell ref="D149:G149"/>
    <mergeCell ref="H178:I178"/>
    <mergeCell ref="J178:M178"/>
    <mergeCell ref="B169:B170"/>
    <mergeCell ref="C169:C170"/>
    <mergeCell ref="D169:G169"/>
    <mergeCell ref="B160:B161"/>
    <mergeCell ref="C160:C161"/>
    <mergeCell ref="D160:G160"/>
    <mergeCell ref="J184:M184"/>
    <mergeCell ref="H198:I198"/>
    <mergeCell ref="J198:M198"/>
    <mergeCell ref="H212:I212"/>
    <mergeCell ref="J212:M212"/>
    <mergeCell ref="H221:I221"/>
    <mergeCell ref="J221:M221"/>
    <mergeCell ref="A149:A150"/>
    <mergeCell ref="A160:A161"/>
    <mergeCell ref="A169:A170"/>
    <mergeCell ref="B198:B199"/>
    <mergeCell ref="C198:C199"/>
    <mergeCell ref="D198:G198"/>
    <mergeCell ref="A198:A199"/>
    <mergeCell ref="A212:A213"/>
    <mergeCell ref="A221:A222"/>
    <mergeCell ref="B178:B179"/>
    <mergeCell ref="C178:C179"/>
    <mergeCell ref="D178:G178"/>
    <mergeCell ref="B184:B185"/>
    <mergeCell ref="C184:C185"/>
    <mergeCell ref="D184:G184"/>
    <mergeCell ref="A178:A179"/>
    <mergeCell ref="A184:A185"/>
    <mergeCell ref="B142:B143"/>
    <mergeCell ref="C142:C143"/>
    <mergeCell ref="D142:G142"/>
    <mergeCell ref="H142:I142"/>
    <mergeCell ref="J142:M142"/>
    <mergeCell ref="J128:M128"/>
    <mergeCell ref="J135:M135"/>
    <mergeCell ref="B128:B129"/>
    <mergeCell ref="C128:C129"/>
    <mergeCell ref="D128:G128"/>
    <mergeCell ref="H128:I128"/>
    <mergeCell ref="B135:B136"/>
    <mergeCell ref="C135:C136"/>
    <mergeCell ref="D135:G135"/>
    <mergeCell ref="H135:I135"/>
    <mergeCell ref="C132:C133"/>
    <mergeCell ref="D116:G116"/>
    <mergeCell ref="B104:B105"/>
    <mergeCell ref="C104:C105"/>
    <mergeCell ref="D104:G104"/>
    <mergeCell ref="D63:G63"/>
    <mergeCell ref="D93:G93"/>
    <mergeCell ref="B63:B64"/>
    <mergeCell ref="C63:C64"/>
    <mergeCell ref="C95:C96"/>
    <mergeCell ref="H116:I116"/>
    <mergeCell ref="J116:M116"/>
    <mergeCell ref="A116:A117"/>
    <mergeCell ref="A128:A129"/>
    <mergeCell ref="A135:A136"/>
    <mergeCell ref="A142:A143"/>
    <mergeCell ref="B70:B71"/>
    <mergeCell ref="C70:C71"/>
    <mergeCell ref="D70:G70"/>
    <mergeCell ref="D72:D73"/>
    <mergeCell ref="E72:E73"/>
    <mergeCell ref="F72:F73"/>
    <mergeCell ref="H70:I70"/>
    <mergeCell ref="J70:M70"/>
    <mergeCell ref="H86:I86"/>
    <mergeCell ref="J86:M86"/>
    <mergeCell ref="H93:I93"/>
    <mergeCell ref="J93:M93"/>
    <mergeCell ref="H104:I104"/>
    <mergeCell ref="J104:M104"/>
    <mergeCell ref="B86:B87"/>
    <mergeCell ref="C86:C87"/>
    <mergeCell ref="D86:G86"/>
    <mergeCell ref="B93:B94"/>
    <mergeCell ref="D5:G5"/>
    <mergeCell ref="C48:C49"/>
    <mergeCell ref="D48:G48"/>
    <mergeCell ref="C5:C6"/>
    <mergeCell ref="H5:I5"/>
    <mergeCell ref="B18:B19"/>
    <mergeCell ref="C18:C19"/>
    <mergeCell ref="D18:G18"/>
    <mergeCell ref="B5:B6"/>
    <mergeCell ref="D39:G39"/>
    <mergeCell ref="B48:B49"/>
    <mergeCell ref="B39:B40"/>
    <mergeCell ref="C39:C40"/>
    <mergeCell ref="C15:C16"/>
    <mergeCell ref="C20:C21"/>
    <mergeCell ref="D29:G29"/>
  </mergeCells>
  <pageMargins left="0.7" right="0.7" top="0.75" bottom="0.75" header="0.3" footer="0.3"/>
  <pageSetup orientation="portrait" r:id="rId1"/>
  <ignoredErrors>
    <ignoredError sqref="F215:F21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showGridLines="0" zoomScaleNormal="100" workbookViewId="0">
      <selection activeCell="A5" sqref="A5:A6"/>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1.140625" customWidth="1"/>
    <col min="11" max="11" width="12.140625" customWidth="1"/>
    <col min="12" max="13" width="15.140625" customWidth="1"/>
  </cols>
  <sheetData>
    <row r="1" spans="1:13" x14ac:dyDescent="0.25">
      <c r="F1" s="386"/>
    </row>
    <row r="2" spans="1:13" x14ac:dyDescent="0.25">
      <c r="F2" s="386"/>
    </row>
    <row r="3" spans="1:13" x14ac:dyDescent="0.25">
      <c r="F3" s="386"/>
    </row>
    <row r="4" spans="1:13" ht="15.75" thickBot="1" x14ac:dyDescent="0.3">
      <c r="F4" s="386"/>
    </row>
    <row r="5" spans="1:13" s="42" customFormat="1" ht="30" customHeight="1" thickTop="1" thickBot="1" x14ac:dyDescent="0.3">
      <c r="A5" s="639" t="s">
        <v>0</v>
      </c>
      <c r="B5" s="639" t="s">
        <v>1</v>
      </c>
      <c r="C5" s="639" t="s">
        <v>2569</v>
      </c>
      <c r="D5" s="636" t="s">
        <v>1961</v>
      </c>
      <c r="E5" s="637"/>
      <c r="F5" s="637"/>
      <c r="G5" s="638"/>
      <c r="H5" s="636" t="s">
        <v>3</v>
      </c>
      <c r="I5" s="637"/>
      <c r="J5" s="636" t="s">
        <v>1962</v>
      </c>
      <c r="K5" s="637"/>
      <c r="L5" s="637"/>
      <c r="M5" s="638"/>
    </row>
    <row r="6" spans="1:13" s="42" customFormat="1" ht="34.5" customHeight="1" thickTop="1" thickBot="1" x14ac:dyDescent="0.3">
      <c r="A6" s="661"/>
      <c r="B6" s="661"/>
      <c r="C6" s="661"/>
      <c r="D6" s="378" t="s">
        <v>4</v>
      </c>
      <c r="E6" s="378" t="s">
        <v>5</v>
      </c>
      <c r="F6" s="378" t="s">
        <v>6</v>
      </c>
      <c r="G6" s="378" t="s">
        <v>7</v>
      </c>
      <c r="H6" s="378" t="s">
        <v>2</v>
      </c>
      <c r="I6" s="378" t="s">
        <v>3</v>
      </c>
      <c r="J6" s="378" t="s">
        <v>8</v>
      </c>
      <c r="K6" s="378" t="s">
        <v>9</v>
      </c>
      <c r="L6" s="378" t="s">
        <v>1963</v>
      </c>
      <c r="M6" s="378" t="s">
        <v>1964</v>
      </c>
    </row>
    <row r="7" spans="1:13" s="42" customFormat="1" ht="54" customHeight="1" thickTop="1" thickBot="1" x14ac:dyDescent="0.3">
      <c r="A7" s="609" t="s">
        <v>2460</v>
      </c>
      <c r="B7" s="383" t="s">
        <v>2532</v>
      </c>
      <c r="C7" s="383" t="s">
        <v>18</v>
      </c>
      <c r="D7" s="383">
        <v>2</v>
      </c>
      <c r="E7" s="383">
        <v>30</v>
      </c>
      <c r="F7" s="383">
        <v>3</v>
      </c>
      <c r="G7" s="383">
        <v>848</v>
      </c>
      <c r="H7" s="382">
        <v>553487403</v>
      </c>
      <c r="I7" s="379">
        <v>0</v>
      </c>
      <c r="J7" s="254" t="s">
        <v>675</v>
      </c>
      <c r="K7" s="382" t="s">
        <v>20</v>
      </c>
      <c r="L7" s="383">
        <v>1500</v>
      </c>
      <c r="M7" s="383">
        <v>0</v>
      </c>
    </row>
    <row r="8" spans="1:13" s="42" customFormat="1" ht="36" customHeight="1" thickTop="1" thickBot="1" x14ac:dyDescent="0.3">
      <c r="A8" s="625" t="s">
        <v>2460</v>
      </c>
      <c r="B8" s="625" t="s">
        <v>2532</v>
      </c>
      <c r="C8" s="654" t="s">
        <v>53</v>
      </c>
      <c r="D8" s="383">
        <v>2</v>
      </c>
      <c r="E8" s="383">
        <v>30</v>
      </c>
      <c r="F8" s="383">
        <v>3</v>
      </c>
      <c r="G8" s="383">
        <v>520</v>
      </c>
      <c r="H8" s="382">
        <v>390000000</v>
      </c>
      <c r="I8" s="379">
        <v>234000000</v>
      </c>
      <c r="J8" s="254" t="s">
        <v>676</v>
      </c>
      <c r="K8" s="382" t="s">
        <v>55</v>
      </c>
      <c r="L8" s="383">
        <v>5</v>
      </c>
      <c r="M8" s="383">
        <v>3</v>
      </c>
    </row>
    <row r="9" spans="1:13" s="42" customFormat="1" ht="36" customHeight="1" thickTop="1" thickBot="1" x14ac:dyDescent="0.3">
      <c r="A9" s="625" t="s">
        <v>2460</v>
      </c>
      <c r="B9" s="625" t="s">
        <v>2532</v>
      </c>
      <c r="C9" s="654"/>
      <c r="D9" s="383">
        <v>2</v>
      </c>
      <c r="E9" s="383">
        <v>30</v>
      </c>
      <c r="F9" s="383">
        <v>3</v>
      </c>
      <c r="G9" s="383">
        <v>520</v>
      </c>
      <c r="H9" s="382">
        <v>1971288408</v>
      </c>
      <c r="I9" s="382">
        <v>1757259661</v>
      </c>
      <c r="J9" s="254" t="s">
        <v>677</v>
      </c>
      <c r="K9" s="382" t="s">
        <v>55</v>
      </c>
      <c r="L9" s="383">
        <v>17</v>
      </c>
      <c r="M9" s="383">
        <v>15</v>
      </c>
    </row>
    <row r="10" spans="1:13" s="42" customFormat="1" ht="25.5" customHeight="1" thickTop="1" thickBot="1" x14ac:dyDescent="0.3">
      <c r="A10" s="63"/>
      <c r="B10" s="63"/>
      <c r="C10" s="63"/>
      <c r="D10" s="63"/>
      <c r="E10" s="63"/>
      <c r="F10" s="63"/>
      <c r="G10" s="63"/>
      <c r="H10" s="63"/>
      <c r="I10" s="63"/>
      <c r="J10" s="63"/>
      <c r="K10" s="63"/>
      <c r="L10" s="63"/>
      <c r="M10" s="63"/>
    </row>
    <row r="11" spans="1:13" s="42" customFormat="1" ht="30" customHeight="1" thickTop="1" thickBot="1" x14ac:dyDescent="0.3">
      <c r="A11" s="639" t="s">
        <v>0</v>
      </c>
      <c r="B11" s="639" t="s">
        <v>1</v>
      </c>
      <c r="C11" s="639" t="s">
        <v>2569</v>
      </c>
      <c r="D11" s="636" t="s">
        <v>1961</v>
      </c>
      <c r="E11" s="637"/>
      <c r="F11" s="637"/>
      <c r="G11" s="638"/>
      <c r="H11" s="636" t="s">
        <v>3</v>
      </c>
      <c r="I11" s="637"/>
      <c r="J11" s="636" t="s">
        <v>1962</v>
      </c>
      <c r="K11" s="637"/>
      <c r="L11" s="637"/>
      <c r="M11" s="638"/>
    </row>
    <row r="12" spans="1:13" s="42" customFormat="1" ht="34.5" customHeight="1" thickTop="1" thickBot="1" x14ac:dyDescent="0.3">
      <c r="A12" s="661"/>
      <c r="B12" s="661"/>
      <c r="C12" s="661"/>
      <c r="D12" s="378" t="s">
        <v>4</v>
      </c>
      <c r="E12" s="378" t="s">
        <v>5</v>
      </c>
      <c r="F12" s="378" t="s">
        <v>6</v>
      </c>
      <c r="G12" s="378" t="s">
        <v>7</v>
      </c>
      <c r="H12" s="378" t="s">
        <v>2</v>
      </c>
      <c r="I12" s="378" t="s">
        <v>3</v>
      </c>
      <c r="J12" s="378" t="s">
        <v>8</v>
      </c>
      <c r="K12" s="378" t="s">
        <v>9</v>
      </c>
      <c r="L12" s="378" t="s">
        <v>1963</v>
      </c>
      <c r="M12" s="378" t="s">
        <v>1964</v>
      </c>
    </row>
    <row r="13" spans="1:13" s="42" customFormat="1" ht="46.5" thickTop="1" thickBot="1" x14ac:dyDescent="0.3">
      <c r="A13" s="609" t="s">
        <v>2533</v>
      </c>
      <c r="B13" s="413" t="s">
        <v>2532</v>
      </c>
      <c r="C13" s="413" t="s">
        <v>18</v>
      </c>
      <c r="D13" s="413">
        <v>2</v>
      </c>
      <c r="E13" s="413">
        <v>30</v>
      </c>
      <c r="F13" s="413">
        <v>3</v>
      </c>
      <c r="G13" s="413">
        <v>848</v>
      </c>
      <c r="H13" s="418">
        <v>374999710</v>
      </c>
      <c r="I13" s="417">
        <v>361799760</v>
      </c>
      <c r="J13" s="254" t="s">
        <v>678</v>
      </c>
      <c r="K13" s="382" t="s">
        <v>20</v>
      </c>
      <c r="L13" s="383">
        <v>589</v>
      </c>
      <c r="M13" s="383">
        <v>589</v>
      </c>
    </row>
    <row r="14" spans="1:13" s="42" customFormat="1" ht="37.5" customHeight="1" thickTop="1" thickBot="1" x14ac:dyDescent="0.3">
      <c r="A14" s="625" t="s">
        <v>2533</v>
      </c>
      <c r="B14" s="625" t="s">
        <v>2532</v>
      </c>
      <c r="C14" s="651" t="s">
        <v>53</v>
      </c>
      <c r="D14" s="418">
        <v>2</v>
      </c>
      <c r="E14" s="418">
        <v>30</v>
      </c>
      <c r="F14" s="418">
        <v>3</v>
      </c>
      <c r="G14" s="418">
        <v>520</v>
      </c>
      <c r="H14" s="418">
        <v>340000000</v>
      </c>
      <c r="I14" s="418">
        <v>190000000</v>
      </c>
      <c r="J14" s="380" t="s">
        <v>679</v>
      </c>
      <c r="K14" s="382" t="s">
        <v>55</v>
      </c>
      <c r="L14" s="382">
        <v>5</v>
      </c>
      <c r="M14" s="382">
        <v>3</v>
      </c>
    </row>
    <row r="15" spans="1:13" s="42" customFormat="1" ht="38.25" customHeight="1" thickTop="1" thickBot="1" x14ac:dyDescent="0.3">
      <c r="A15" s="625" t="s">
        <v>2533</v>
      </c>
      <c r="B15" s="625" t="s">
        <v>2532</v>
      </c>
      <c r="C15" s="652"/>
      <c r="D15" s="418">
        <v>2</v>
      </c>
      <c r="E15" s="418">
        <v>30</v>
      </c>
      <c r="F15" s="418">
        <v>3</v>
      </c>
      <c r="G15" s="418">
        <v>520</v>
      </c>
      <c r="H15" s="418">
        <v>160000000</v>
      </c>
      <c r="I15" s="418">
        <v>80000000</v>
      </c>
      <c r="J15" s="380" t="s">
        <v>680</v>
      </c>
      <c r="K15" s="382" t="s">
        <v>25</v>
      </c>
      <c r="L15" s="382">
        <v>2</v>
      </c>
      <c r="M15" s="382">
        <v>1</v>
      </c>
    </row>
    <row r="16" spans="1:13" s="42" customFormat="1" ht="38.25" customHeight="1" thickTop="1" thickBot="1" x14ac:dyDescent="0.3">
      <c r="A16" s="625" t="s">
        <v>2533</v>
      </c>
      <c r="B16" s="625" t="s">
        <v>2532</v>
      </c>
      <c r="C16" s="653"/>
      <c r="D16" s="418">
        <v>2</v>
      </c>
      <c r="E16" s="418">
        <v>30</v>
      </c>
      <c r="F16" s="418">
        <v>3</v>
      </c>
      <c r="G16" s="418">
        <v>520</v>
      </c>
      <c r="H16" s="418">
        <f>784999326-H15-H14-H17</f>
        <v>189599326</v>
      </c>
      <c r="I16" s="418">
        <f>226654920-I15-I17</f>
        <v>51254920</v>
      </c>
      <c r="J16" s="380" t="s">
        <v>681</v>
      </c>
      <c r="K16" s="382" t="s">
        <v>55</v>
      </c>
      <c r="L16" s="382">
        <v>4</v>
      </c>
      <c r="M16" s="382">
        <v>1</v>
      </c>
    </row>
    <row r="17" spans="1:13" s="42" customFormat="1" ht="39.75" customHeight="1" thickTop="1" thickBot="1" x14ac:dyDescent="0.3">
      <c r="A17" s="625" t="s">
        <v>2533</v>
      </c>
      <c r="B17" s="625" t="s">
        <v>2532</v>
      </c>
      <c r="C17" s="413" t="s">
        <v>440</v>
      </c>
      <c r="D17" s="418">
        <v>2</v>
      </c>
      <c r="E17" s="418">
        <v>30</v>
      </c>
      <c r="F17" s="418">
        <v>3</v>
      </c>
      <c r="G17" s="418">
        <v>520</v>
      </c>
      <c r="H17" s="418">
        <v>95400000</v>
      </c>
      <c r="I17" s="418">
        <v>95400000</v>
      </c>
      <c r="J17" s="380" t="s">
        <v>682</v>
      </c>
      <c r="K17" s="382" t="s">
        <v>71</v>
      </c>
      <c r="L17" s="382">
        <v>3</v>
      </c>
      <c r="M17" s="382">
        <v>3</v>
      </c>
    </row>
    <row r="18" spans="1:13" s="42" customFormat="1" ht="39.75" customHeight="1" thickTop="1" thickBot="1" x14ac:dyDescent="0.3">
      <c r="A18" s="625" t="s">
        <v>2533</v>
      </c>
      <c r="B18" s="625" t="s">
        <v>2532</v>
      </c>
      <c r="C18" s="423" t="s">
        <v>2032</v>
      </c>
      <c r="D18" s="418">
        <v>2</v>
      </c>
      <c r="E18" s="418">
        <v>30</v>
      </c>
      <c r="F18" s="418">
        <v>3</v>
      </c>
      <c r="G18" s="418">
        <v>540</v>
      </c>
      <c r="H18" s="418">
        <v>90000000</v>
      </c>
      <c r="I18" s="418">
        <v>63954000</v>
      </c>
      <c r="J18" s="380" t="s">
        <v>683</v>
      </c>
      <c r="K18" s="385" t="s">
        <v>2079</v>
      </c>
      <c r="L18" s="382">
        <v>323</v>
      </c>
      <c r="M18" s="382">
        <v>323</v>
      </c>
    </row>
    <row r="19" spans="1:13" s="42" customFormat="1" ht="16.5" thickTop="1" thickBot="1" x14ac:dyDescent="0.3">
      <c r="A19" s="63"/>
      <c r="B19" s="63"/>
      <c r="C19" s="63"/>
      <c r="D19" s="63"/>
      <c r="E19" s="63"/>
      <c r="F19" s="63"/>
      <c r="G19" s="63"/>
      <c r="H19" s="63"/>
      <c r="I19" s="63"/>
      <c r="J19" s="63"/>
      <c r="K19" s="63"/>
      <c r="L19" s="63"/>
      <c r="M19" s="63"/>
    </row>
    <row r="20" spans="1:13" s="42" customFormat="1" ht="30" customHeight="1" thickTop="1" thickBot="1" x14ac:dyDescent="0.3">
      <c r="A20" s="639" t="s">
        <v>0</v>
      </c>
      <c r="B20" s="639" t="s">
        <v>1</v>
      </c>
      <c r="C20" s="639" t="s">
        <v>2569</v>
      </c>
      <c r="D20" s="636" t="s">
        <v>1961</v>
      </c>
      <c r="E20" s="637"/>
      <c r="F20" s="637"/>
      <c r="G20" s="638"/>
      <c r="H20" s="636" t="s">
        <v>3</v>
      </c>
      <c r="I20" s="637"/>
      <c r="J20" s="636" t="s">
        <v>1962</v>
      </c>
      <c r="K20" s="637"/>
      <c r="L20" s="637"/>
      <c r="M20" s="638"/>
    </row>
    <row r="21" spans="1:13" s="42" customFormat="1" ht="34.5" customHeight="1" thickTop="1" thickBot="1" x14ac:dyDescent="0.3">
      <c r="A21" s="661"/>
      <c r="B21" s="661"/>
      <c r="C21" s="661"/>
      <c r="D21" s="378" t="s">
        <v>4</v>
      </c>
      <c r="E21" s="378" t="s">
        <v>5</v>
      </c>
      <c r="F21" s="378" t="s">
        <v>6</v>
      </c>
      <c r="G21" s="378" t="s">
        <v>7</v>
      </c>
      <c r="H21" s="378" t="s">
        <v>2</v>
      </c>
      <c r="I21" s="378" t="s">
        <v>3</v>
      </c>
      <c r="J21" s="378" t="s">
        <v>8</v>
      </c>
      <c r="K21" s="378" t="s">
        <v>9</v>
      </c>
      <c r="L21" s="378" t="s">
        <v>1963</v>
      </c>
      <c r="M21" s="378" t="s">
        <v>1964</v>
      </c>
    </row>
    <row r="22" spans="1:13" s="42" customFormat="1" ht="51" customHeight="1" thickTop="1" thickBot="1" x14ac:dyDescent="0.3">
      <c r="A22" s="383" t="s">
        <v>2462</v>
      </c>
      <c r="B22" s="383" t="s">
        <v>2532</v>
      </c>
      <c r="C22" s="383" t="s">
        <v>18</v>
      </c>
      <c r="D22" s="383">
        <v>3</v>
      </c>
      <c r="E22" s="383">
        <v>30</v>
      </c>
      <c r="F22" s="383">
        <v>3</v>
      </c>
      <c r="G22" s="383">
        <v>848</v>
      </c>
      <c r="H22" s="382">
        <v>253196387</v>
      </c>
      <c r="I22" s="379">
        <v>163488000</v>
      </c>
      <c r="J22" s="254" t="s">
        <v>684</v>
      </c>
      <c r="K22" s="382" t="s">
        <v>20</v>
      </c>
      <c r="L22" s="383">
        <v>262</v>
      </c>
      <c r="M22" s="383">
        <v>170</v>
      </c>
    </row>
    <row r="23" spans="1:13" s="42" customFormat="1" ht="57.75" thickTop="1" thickBot="1" x14ac:dyDescent="0.3">
      <c r="A23" s="625" t="s">
        <v>2462</v>
      </c>
      <c r="B23" s="625" t="s">
        <v>2532</v>
      </c>
      <c r="C23" s="383" t="s">
        <v>179</v>
      </c>
      <c r="D23" s="383">
        <v>3</v>
      </c>
      <c r="E23" s="383">
        <v>30</v>
      </c>
      <c r="F23" s="383">
        <v>3</v>
      </c>
      <c r="G23" s="383">
        <v>520</v>
      </c>
      <c r="H23" s="382">
        <v>612839479</v>
      </c>
      <c r="I23" s="379">
        <v>580226482</v>
      </c>
      <c r="J23" s="254" t="s">
        <v>685</v>
      </c>
      <c r="K23" s="382" t="s">
        <v>55</v>
      </c>
      <c r="L23" s="383">
        <v>5</v>
      </c>
      <c r="M23" s="383">
        <v>4</v>
      </c>
    </row>
    <row r="24" spans="1:13" s="42" customFormat="1" ht="63.75" customHeight="1" thickTop="1" thickBot="1" x14ac:dyDescent="0.3">
      <c r="A24" s="625" t="s">
        <v>2462</v>
      </c>
      <c r="B24" s="625" t="s">
        <v>2532</v>
      </c>
      <c r="C24" s="413" t="s">
        <v>105</v>
      </c>
      <c r="D24" s="383">
        <v>3</v>
      </c>
      <c r="E24" s="383">
        <v>30</v>
      </c>
      <c r="F24" s="383">
        <v>3</v>
      </c>
      <c r="G24" s="383">
        <v>540</v>
      </c>
      <c r="H24" s="382">
        <v>25000000</v>
      </c>
      <c r="I24" s="379">
        <v>22900000</v>
      </c>
      <c r="J24" s="254" t="s">
        <v>686</v>
      </c>
      <c r="K24" s="397" t="s">
        <v>687</v>
      </c>
      <c r="L24" s="383">
        <v>5</v>
      </c>
      <c r="M24" s="383">
        <v>4</v>
      </c>
    </row>
    <row r="25" spans="1:13" s="42" customFormat="1" ht="51" customHeight="1" thickTop="1" thickBot="1" x14ac:dyDescent="0.3">
      <c r="A25" s="625" t="s">
        <v>2462</v>
      </c>
      <c r="B25" s="625" t="s">
        <v>2532</v>
      </c>
      <c r="C25" s="383" t="s">
        <v>179</v>
      </c>
      <c r="D25" s="383">
        <v>3</v>
      </c>
      <c r="E25" s="383">
        <v>30</v>
      </c>
      <c r="F25" s="383">
        <v>3</v>
      </c>
      <c r="G25" s="383">
        <v>980</v>
      </c>
      <c r="H25" s="382">
        <v>68948210</v>
      </c>
      <c r="I25" s="379">
        <v>68948210</v>
      </c>
      <c r="J25" s="254" t="s">
        <v>688</v>
      </c>
      <c r="K25" s="382" t="s">
        <v>16</v>
      </c>
      <c r="L25" s="383">
        <v>2</v>
      </c>
      <c r="M25" s="383">
        <v>2</v>
      </c>
    </row>
    <row r="26" spans="1:13" s="42" customFormat="1" ht="16.5" thickTop="1" thickBot="1" x14ac:dyDescent="0.3">
      <c r="A26" s="63"/>
      <c r="B26" s="63"/>
      <c r="C26" s="63"/>
      <c r="D26" s="63"/>
      <c r="E26" s="63"/>
      <c r="F26" s="63"/>
      <c r="G26" s="63"/>
      <c r="H26" s="63"/>
      <c r="I26" s="63"/>
      <c r="J26" s="63"/>
      <c r="K26" s="63"/>
      <c r="L26" s="63"/>
      <c r="M26" s="63"/>
    </row>
    <row r="27" spans="1:13" s="42" customFormat="1" ht="30" customHeight="1" thickTop="1" thickBot="1" x14ac:dyDescent="0.3">
      <c r="A27" s="639" t="s">
        <v>0</v>
      </c>
      <c r="B27" s="639" t="s">
        <v>1</v>
      </c>
      <c r="C27" s="639" t="s">
        <v>2569</v>
      </c>
      <c r="D27" s="636" t="s">
        <v>1961</v>
      </c>
      <c r="E27" s="637"/>
      <c r="F27" s="637"/>
      <c r="G27" s="638"/>
      <c r="H27" s="636" t="s">
        <v>3</v>
      </c>
      <c r="I27" s="637"/>
      <c r="J27" s="636" t="s">
        <v>1962</v>
      </c>
      <c r="K27" s="637"/>
      <c r="L27" s="637"/>
      <c r="M27" s="638"/>
    </row>
    <row r="28" spans="1:13" s="42" customFormat="1" ht="34.5" customHeight="1" thickTop="1" thickBot="1" x14ac:dyDescent="0.3">
      <c r="A28" s="661"/>
      <c r="B28" s="661"/>
      <c r="C28" s="661"/>
      <c r="D28" s="378" t="s">
        <v>4</v>
      </c>
      <c r="E28" s="378" t="s">
        <v>5</v>
      </c>
      <c r="F28" s="378" t="s">
        <v>6</v>
      </c>
      <c r="G28" s="378" t="s">
        <v>7</v>
      </c>
      <c r="H28" s="378" t="s">
        <v>2</v>
      </c>
      <c r="I28" s="378" t="s">
        <v>3</v>
      </c>
      <c r="J28" s="378" t="s">
        <v>8</v>
      </c>
      <c r="K28" s="378" t="s">
        <v>9</v>
      </c>
      <c r="L28" s="378" t="s">
        <v>1963</v>
      </c>
      <c r="M28" s="378" t="s">
        <v>1964</v>
      </c>
    </row>
    <row r="29" spans="1:13" s="42" customFormat="1" ht="51.75" customHeight="1" thickTop="1" thickBot="1" x14ac:dyDescent="0.3">
      <c r="A29" s="383" t="s">
        <v>2461</v>
      </c>
      <c r="B29" s="383" t="s">
        <v>2532</v>
      </c>
      <c r="C29" s="383" t="s">
        <v>18</v>
      </c>
      <c r="D29" s="383">
        <v>2</v>
      </c>
      <c r="E29" s="383">
        <v>30</v>
      </c>
      <c r="F29" s="383">
        <v>3</v>
      </c>
      <c r="G29" s="383">
        <v>848</v>
      </c>
      <c r="H29" s="382">
        <v>328170985</v>
      </c>
      <c r="I29" s="379">
        <v>0</v>
      </c>
      <c r="J29" s="254" t="s">
        <v>689</v>
      </c>
      <c r="K29" s="382" t="s">
        <v>20</v>
      </c>
      <c r="L29" s="383">
        <v>150</v>
      </c>
      <c r="M29" s="383">
        <v>0</v>
      </c>
    </row>
    <row r="30" spans="1:13" s="42" customFormat="1" ht="51.75" customHeight="1" thickTop="1" thickBot="1" x14ac:dyDescent="0.3">
      <c r="A30" s="609" t="s">
        <v>2461</v>
      </c>
      <c r="B30" s="383" t="s">
        <v>2532</v>
      </c>
      <c r="C30" s="383" t="s">
        <v>53</v>
      </c>
      <c r="D30" s="383">
        <v>2</v>
      </c>
      <c r="E30" s="383">
        <v>30</v>
      </c>
      <c r="F30" s="383">
        <v>3</v>
      </c>
      <c r="G30" s="383">
        <v>520</v>
      </c>
      <c r="H30" s="382">
        <v>765732298</v>
      </c>
      <c r="I30" s="379">
        <v>401904906</v>
      </c>
      <c r="J30" s="254" t="s">
        <v>130</v>
      </c>
      <c r="K30" s="382" t="s">
        <v>55</v>
      </c>
      <c r="L30" s="383">
        <v>7</v>
      </c>
      <c r="M30" s="383">
        <v>4</v>
      </c>
    </row>
    <row r="31" spans="1:13" s="42" customFormat="1" ht="17.25" customHeight="1" thickTop="1" thickBot="1" x14ac:dyDescent="0.3">
      <c r="A31" s="63"/>
      <c r="B31" s="63"/>
      <c r="C31" s="63"/>
      <c r="D31" s="63"/>
      <c r="E31" s="63"/>
      <c r="F31" s="63"/>
      <c r="G31" s="63"/>
      <c r="H31" s="63"/>
      <c r="I31" s="63"/>
      <c r="J31" s="63"/>
      <c r="K31" s="63"/>
      <c r="L31" s="63"/>
      <c r="M31" s="63"/>
    </row>
    <row r="32" spans="1:13" s="42" customFormat="1" ht="30" customHeight="1" thickTop="1" thickBot="1" x14ac:dyDescent="0.3">
      <c r="A32" s="639" t="s">
        <v>0</v>
      </c>
      <c r="B32" s="639" t="s">
        <v>1</v>
      </c>
      <c r="C32" s="639" t="s">
        <v>2569</v>
      </c>
      <c r="D32" s="636" t="s">
        <v>1961</v>
      </c>
      <c r="E32" s="637"/>
      <c r="F32" s="637"/>
      <c r="G32" s="638"/>
      <c r="H32" s="636" t="s">
        <v>3</v>
      </c>
      <c r="I32" s="637"/>
      <c r="J32" s="636" t="s">
        <v>1962</v>
      </c>
      <c r="K32" s="637"/>
      <c r="L32" s="637"/>
      <c r="M32" s="638"/>
    </row>
    <row r="33" spans="1:13" s="42" customFormat="1" ht="34.5" customHeight="1" thickTop="1" thickBot="1" x14ac:dyDescent="0.3">
      <c r="A33" s="661"/>
      <c r="B33" s="661"/>
      <c r="C33" s="661"/>
      <c r="D33" s="378" t="s">
        <v>4</v>
      </c>
      <c r="E33" s="378" t="s">
        <v>5</v>
      </c>
      <c r="F33" s="378" t="s">
        <v>6</v>
      </c>
      <c r="G33" s="378" t="s">
        <v>7</v>
      </c>
      <c r="H33" s="378" t="s">
        <v>2</v>
      </c>
      <c r="I33" s="378" t="s">
        <v>3</v>
      </c>
      <c r="J33" s="378" t="s">
        <v>8</v>
      </c>
      <c r="K33" s="378" t="s">
        <v>9</v>
      </c>
      <c r="L33" s="378" t="s">
        <v>1963</v>
      </c>
      <c r="M33" s="378" t="s">
        <v>1964</v>
      </c>
    </row>
    <row r="34" spans="1:13" s="42" customFormat="1" ht="51.75" customHeight="1" thickTop="1" thickBot="1" x14ac:dyDescent="0.3">
      <c r="A34" s="383" t="s">
        <v>2534</v>
      </c>
      <c r="B34" s="383" t="s">
        <v>2532</v>
      </c>
      <c r="C34" s="651" t="s">
        <v>18</v>
      </c>
      <c r="D34" s="383">
        <v>2</v>
      </c>
      <c r="E34" s="383">
        <v>30</v>
      </c>
      <c r="F34" s="383">
        <v>3</v>
      </c>
      <c r="G34" s="383">
        <v>848</v>
      </c>
      <c r="H34" s="382">
        <v>247630971</v>
      </c>
      <c r="I34" s="379">
        <v>183600000</v>
      </c>
      <c r="J34" s="254" t="s">
        <v>690</v>
      </c>
      <c r="K34" s="382" t="s">
        <v>20</v>
      </c>
      <c r="L34" s="383">
        <v>450</v>
      </c>
      <c r="M34" s="383">
        <v>333</v>
      </c>
    </row>
    <row r="35" spans="1:13" s="42" customFormat="1" ht="33.75" customHeight="1" thickTop="1" thickBot="1" x14ac:dyDescent="0.3">
      <c r="A35" s="625" t="s">
        <v>2534</v>
      </c>
      <c r="B35" s="625" t="s">
        <v>2532</v>
      </c>
      <c r="C35" s="653"/>
      <c r="D35" s="383">
        <v>2</v>
      </c>
      <c r="E35" s="383">
        <v>30</v>
      </c>
      <c r="F35" s="383">
        <v>3</v>
      </c>
      <c r="G35" s="383">
        <v>961</v>
      </c>
      <c r="H35" s="382">
        <v>53000000</v>
      </c>
      <c r="I35" s="379">
        <v>53000000</v>
      </c>
      <c r="J35" s="254" t="s">
        <v>691</v>
      </c>
      <c r="K35" s="382" t="s">
        <v>16</v>
      </c>
      <c r="L35" s="383">
        <v>2</v>
      </c>
      <c r="M35" s="383">
        <v>2</v>
      </c>
    </row>
    <row r="36" spans="1:13" s="42" customFormat="1" ht="36.75" customHeight="1" thickTop="1" thickBot="1" x14ac:dyDescent="0.3">
      <c r="A36" s="625" t="s">
        <v>2534</v>
      </c>
      <c r="B36" s="625" t="s">
        <v>2532</v>
      </c>
      <c r="C36" s="651" t="s">
        <v>53</v>
      </c>
      <c r="D36" s="383">
        <v>2</v>
      </c>
      <c r="E36" s="383">
        <v>30</v>
      </c>
      <c r="F36" s="383">
        <v>3</v>
      </c>
      <c r="G36" s="383">
        <v>520</v>
      </c>
      <c r="H36" s="382">
        <v>662433864</v>
      </c>
      <c r="I36" s="379">
        <v>411472920</v>
      </c>
      <c r="J36" s="254" t="s">
        <v>692</v>
      </c>
      <c r="K36" s="382" t="s">
        <v>55</v>
      </c>
      <c r="L36" s="383">
        <v>8</v>
      </c>
      <c r="M36" s="383">
        <v>4.96</v>
      </c>
    </row>
    <row r="37" spans="1:13" s="42" customFormat="1" ht="35.25" thickTop="1" thickBot="1" x14ac:dyDescent="0.3">
      <c r="A37" s="625" t="s">
        <v>2534</v>
      </c>
      <c r="B37" s="625" t="s">
        <v>2532</v>
      </c>
      <c r="C37" s="653"/>
      <c r="D37" s="383">
        <v>3</v>
      </c>
      <c r="E37" s="383">
        <v>30</v>
      </c>
      <c r="F37" s="383">
        <v>3</v>
      </c>
      <c r="G37" s="383">
        <v>985</v>
      </c>
      <c r="H37" s="382">
        <v>57775000</v>
      </c>
      <c r="I37" s="379">
        <v>57775000</v>
      </c>
      <c r="J37" s="254" t="s">
        <v>693</v>
      </c>
      <c r="K37" s="382" t="s">
        <v>16</v>
      </c>
      <c r="L37" s="383">
        <v>1</v>
      </c>
      <c r="M37" s="383">
        <v>1</v>
      </c>
    </row>
    <row r="38" spans="1:13" s="42" customFormat="1" ht="16.5" thickTop="1" thickBot="1" x14ac:dyDescent="0.3">
      <c r="A38" s="63"/>
      <c r="B38" s="63"/>
      <c r="C38" s="63"/>
      <c r="D38" s="63"/>
      <c r="E38" s="63"/>
      <c r="F38" s="63"/>
      <c r="G38" s="63"/>
      <c r="H38" s="63"/>
      <c r="I38" s="63"/>
      <c r="J38" s="63"/>
      <c r="K38" s="63"/>
      <c r="L38" s="63"/>
      <c r="M38" s="63"/>
    </row>
    <row r="39" spans="1:13" s="42" customFormat="1" ht="30" customHeight="1" thickTop="1" thickBot="1" x14ac:dyDescent="0.3">
      <c r="A39" s="639" t="s">
        <v>0</v>
      </c>
      <c r="B39" s="639" t="s">
        <v>1</v>
      </c>
      <c r="C39" s="639" t="s">
        <v>2569</v>
      </c>
      <c r="D39" s="636" t="s">
        <v>1961</v>
      </c>
      <c r="E39" s="637"/>
      <c r="F39" s="637"/>
      <c r="G39" s="638"/>
      <c r="H39" s="636" t="s">
        <v>3</v>
      </c>
      <c r="I39" s="637"/>
      <c r="J39" s="636" t="s">
        <v>1962</v>
      </c>
      <c r="K39" s="637"/>
      <c r="L39" s="637"/>
      <c r="M39" s="638"/>
    </row>
    <row r="40" spans="1:13" s="42" customFormat="1" ht="34.5" customHeight="1" thickTop="1" thickBot="1" x14ac:dyDescent="0.3">
      <c r="A40" s="661"/>
      <c r="B40" s="661"/>
      <c r="C40" s="661"/>
      <c r="D40" s="378" t="s">
        <v>4</v>
      </c>
      <c r="E40" s="378" t="s">
        <v>5</v>
      </c>
      <c r="F40" s="378" t="s">
        <v>6</v>
      </c>
      <c r="G40" s="378" t="s">
        <v>7</v>
      </c>
      <c r="H40" s="378" t="s">
        <v>2</v>
      </c>
      <c r="I40" s="378" t="s">
        <v>3</v>
      </c>
      <c r="J40" s="378" t="s">
        <v>8</v>
      </c>
      <c r="K40" s="378" t="s">
        <v>9</v>
      </c>
      <c r="L40" s="378" t="s">
        <v>1963</v>
      </c>
      <c r="M40" s="378" t="s">
        <v>1964</v>
      </c>
    </row>
    <row r="41" spans="1:13" s="42" customFormat="1" ht="49.5" customHeight="1" thickTop="1" thickBot="1" x14ac:dyDescent="0.3">
      <c r="A41" s="383" t="s">
        <v>2455</v>
      </c>
      <c r="B41" s="625" t="s">
        <v>2532</v>
      </c>
      <c r="C41" s="381" t="s">
        <v>18</v>
      </c>
      <c r="D41" s="381">
        <v>3</v>
      </c>
      <c r="E41" s="381">
        <v>30</v>
      </c>
      <c r="F41" s="381">
        <v>3</v>
      </c>
      <c r="G41" s="381">
        <v>848</v>
      </c>
      <c r="H41" s="384">
        <v>217524808</v>
      </c>
      <c r="I41" s="388">
        <v>216146000</v>
      </c>
      <c r="J41" s="387" t="s">
        <v>694</v>
      </c>
      <c r="K41" s="384" t="s">
        <v>20</v>
      </c>
      <c r="L41" s="381">
        <v>255</v>
      </c>
      <c r="M41" s="381">
        <v>255</v>
      </c>
    </row>
    <row r="42" spans="1:13" s="42" customFormat="1" ht="40.5" customHeight="1" thickTop="1" thickBot="1" x14ac:dyDescent="0.3">
      <c r="A42" s="608" t="s">
        <v>2455</v>
      </c>
      <c r="B42" s="625" t="s">
        <v>2532</v>
      </c>
      <c r="C42" s="672" t="s">
        <v>53</v>
      </c>
      <c r="D42" s="385">
        <v>3</v>
      </c>
      <c r="E42" s="385">
        <v>30</v>
      </c>
      <c r="F42" s="385">
        <v>3</v>
      </c>
      <c r="G42" s="343">
        <v>590</v>
      </c>
      <c r="H42" s="343">
        <v>80000000</v>
      </c>
      <c r="I42" s="343">
        <v>80000000</v>
      </c>
      <c r="J42" s="340" t="s">
        <v>695</v>
      </c>
      <c r="K42" s="385" t="s">
        <v>55</v>
      </c>
      <c r="L42" s="343">
        <v>2</v>
      </c>
      <c r="M42" s="343">
        <v>2</v>
      </c>
    </row>
    <row r="43" spans="1:13" s="42" customFormat="1" ht="40.5" customHeight="1" thickTop="1" thickBot="1" x14ac:dyDescent="0.3">
      <c r="A43" s="608" t="s">
        <v>2455</v>
      </c>
      <c r="B43" s="625" t="s">
        <v>2532</v>
      </c>
      <c r="C43" s="672"/>
      <c r="D43" s="385">
        <v>3</v>
      </c>
      <c r="E43" s="385">
        <v>30</v>
      </c>
      <c r="F43" s="385">
        <v>3</v>
      </c>
      <c r="G43" s="385">
        <v>520</v>
      </c>
      <c r="H43" s="343">
        <f>93557885-34000000</f>
        <v>59557885</v>
      </c>
      <c r="I43" s="343">
        <v>0</v>
      </c>
      <c r="J43" s="340" t="s">
        <v>696</v>
      </c>
      <c r="K43" s="385" t="s">
        <v>25</v>
      </c>
      <c r="L43" s="343">
        <v>1</v>
      </c>
      <c r="M43" s="343">
        <v>0</v>
      </c>
    </row>
    <row r="44" spans="1:13" s="42" customFormat="1" ht="40.5" customHeight="1" thickTop="1" thickBot="1" x14ac:dyDescent="0.3">
      <c r="A44" s="608" t="s">
        <v>2455</v>
      </c>
      <c r="B44" s="625" t="s">
        <v>2532</v>
      </c>
      <c r="C44" s="672"/>
      <c r="D44" s="385">
        <v>3</v>
      </c>
      <c r="E44" s="385">
        <v>30</v>
      </c>
      <c r="F44" s="385">
        <v>3</v>
      </c>
      <c r="G44" s="385">
        <v>520</v>
      </c>
      <c r="H44" s="343">
        <f>148716710+67703290+34000000</f>
        <v>250420000</v>
      </c>
      <c r="I44" s="343">
        <v>250510850</v>
      </c>
      <c r="J44" s="340" t="s">
        <v>697</v>
      </c>
      <c r="K44" s="385" t="s">
        <v>595</v>
      </c>
      <c r="L44" s="343">
        <v>2</v>
      </c>
      <c r="M44" s="343">
        <v>2</v>
      </c>
    </row>
    <row r="45" spans="1:13" s="42" customFormat="1" ht="40.5" customHeight="1" thickTop="1" thickBot="1" x14ac:dyDescent="0.3">
      <c r="A45" s="608" t="s">
        <v>2455</v>
      </c>
      <c r="B45" s="625" t="s">
        <v>2532</v>
      </c>
      <c r="C45" s="672"/>
      <c r="D45" s="385">
        <v>3</v>
      </c>
      <c r="E45" s="385">
        <v>30</v>
      </c>
      <c r="F45" s="385">
        <v>3</v>
      </c>
      <c r="G45" s="385">
        <v>980</v>
      </c>
      <c r="H45" s="343">
        <v>94703290</v>
      </c>
      <c r="I45" s="343">
        <v>94703290</v>
      </c>
      <c r="J45" s="340" t="s">
        <v>698</v>
      </c>
      <c r="K45" s="385" t="s">
        <v>16</v>
      </c>
      <c r="L45" s="343">
        <v>1</v>
      </c>
      <c r="M45" s="343">
        <v>1</v>
      </c>
    </row>
    <row r="46" spans="1:13" s="42" customFormat="1" ht="40.5" customHeight="1" thickTop="1" thickBot="1" x14ac:dyDescent="0.3">
      <c r="A46" s="608" t="s">
        <v>2455</v>
      </c>
      <c r="B46" s="625" t="s">
        <v>2532</v>
      </c>
      <c r="C46" s="672" t="s">
        <v>105</v>
      </c>
      <c r="D46" s="385">
        <v>3</v>
      </c>
      <c r="E46" s="385">
        <v>30</v>
      </c>
      <c r="F46" s="385">
        <v>3</v>
      </c>
      <c r="G46" s="385">
        <v>540</v>
      </c>
      <c r="H46" s="343">
        <v>44880000</v>
      </c>
      <c r="I46" s="343">
        <v>44880000</v>
      </c>
      <c r="J46" s="340" t="s">
        <v>699</v>
      </c>
      <c r="K46" s="385" t="s">
        <v>2082</v>
      </c>
      <c r="L46" s="343">
        <v>264</v>
      </c>
      <c r="M46" s="343">
        <v>264</v>
      </c>
    </row>
    <row r="47" spans="1:13" s="42" customFormat="1" ht="40.5" customHeight="1" thickTop="1" thickBot="1" x14ac:dyDescent="0.3">
      <c r="A47" s="608" t="s">
        <v>2455</v>
      </c>
      <c r="B47" s="625" t="s">
        <v>2532</v>
      </c>
      <c r="C47" s="672"/>
      <c r="D47" s="385">
        <v>3</v>
      </c>
      <c r="E47" s="385">
        <v>30</v>
      </c>
      <c r="F47" s="385">
        <v>3</v>
      </c>
      <c r="G47" s="385">
        <v>540</v>
      </c>
      <c r="H47" s="343">
        <v>27300000</v>
      </c>
      <c r="I47" s="343">
        <v>27300000</v>
      </c>
      <c r="J47" s="340" t="s">
        <v>700</v>
      </c>
      <c r="K47" s="385" t="s">
        <v>66</v>
      </c>
      <c r="L47" s="343">
        <v>21</v>
      </c>
      <c r="M47" s="343">
        <v>21</v>
      </c>
    </row>
    <row r="48" spans="1:13" s="42" customFormat="1" ht="40.5" customHeight="1" thickTop="1" thickBot="1" x14ac:dyDescent="0.3">
      <c r="A48" s="608" t="s">
        <v>2455</v>
      </c>
      <c r="B48" s="625" t="s">
        <v>2532</v>
      </c>
      <c r="C48" s="672"/>
      <c r="D48" s="385">
        <v>3</v>
      </c>
      <c r="E48" s="385">
        <v>30</v>
      </c>
      <c r="F48" s="385">
        <v>3</v>
      </c>
      <c r="G48" s="385">
        <v>540</v>
      </c>
      <c r="H48" s="343">
        <v>8800000</v>
      </c>
      <c r="I48" s="343">
        <v>8800000</v>
      </c>
      <c r="J48" s="340" t="s">
        <v>701</v>
      </c>
      <c r="K48" s="385" t="s">
        <v>702</v>
      </c>
      <c r="L48" s="343">
        <v>11</v>
      </c>
      <c r="M48" s="343">
        <v>11</v>
      </c>
    </row>
    <row r="49" spans="1:13" s="42" customFormat="1" ht="40.5" customHeight="1" thickTop="1" thickBot="1" x14ac:dyDescent="0.3">
      <c r="A49" s="608" t="s">
        <v>2455</v>
      </c>
      <c r="B49" s="625" t="s">
        <v>2532</v>
      </c>
      <c r="C49" s="672"/>
      <c r="D49" s="385">
        <v>3</v>
      </c>
      <c r="E49" s="385">
        <v>30</v>
      </c>
      <c r="F49" s="385">
        <v>3</v>
      </c>
      <c r="G49" s="385">
        <v>540</v>
      </c>
      <c r="H49" s="343">
        <v>9600000</v>
      </c>
      <c r="I49" s="343">
        <v>9600000</v>
      </c>
      <c r="J49" s="340" t="s">
        <v>703</v>
      </c>
      <c r="K49" s="385" t="s">
        <v>190</v>
      </c>
      <c r="L49" s="343">
        <v>12</v>
      </c>
      <c r="M49" s="343">
        <v>12</v>
      </c>
    </row>
    <row r="50" spans="1:13" s="42" customFormat="1" ht="16.5" thickTop="1" thickBot="1" x14ac:dyDescent="0.3">
      <c r="A50" s="63"/>
      <c r="B50" s="63"/>
      <c r="C50" s="63"/>
      <c r="D50" s="63"/>
      <c r="E50" s="63"/>
      <c r="F50" s="63"/>
      <c r="G50" s="63"/>
      <c r="H50" s="63"/>
      <c r="I50" s="63"/>
      <c r="J50" s="63"/>
      <c r="K50" s="63"/>
      <c r="L50" s="63"/>
      <c r="M50" s="63"/>
    </row>
    <row r="51" spans="1:13" s="42" customFormat="1" ht="30" customHeight="1" thickTop="1" thickBot="1" x14ac:dyDescent="0.3">
      <c r="A51" s="639" t="s">
        <v>0</v>
      </c>
      <c r="B51" s="639" t="s">
        <v>1</v>
      </c>
      <c r="C51" s="639" t="s">
        <v>2569</v>
      </c>
      <c r="D51" s="636" t="s">
        <v>1961</v>
      </c>
      <c r="E51" s="637"/>
      <c r="F51" s="637"/>
      <c r="G51" s="638"/>
      <c r="H51" s="636" t="s">
        <v>3</v>
      </c>
      <c r="I51" s="637"/>
      <c r="J51" s="636" t="s">
        <v>1962</v>
      </c>
      <c r="K51" s="637"/>
      <c r="L51" s="637"/>
      <c r="M51" s="638"/>
    </row>
    <row r="52" spans="1:13" s="42" customFormat="1" ht="34.5" customHeight="1" thickTop="1" thickBot="1" x14ac:dyDescent="0.3">
      <c r="A52" s="661"/>
      <c r="B52" s="661"/>
      <c r="C52" s="661"/>
      <c r="D52" s="378" t="s">
        <v>4</v>
      </c>
      <c r="E52" s="378" t="s">
        <v>5</v>
      </c>
      <c r="F52" s="378" t="s">
        <v>6</v>
      </c>
      <c r="G52" s="378" t="s">
        <v>7</v>
      </c>
      <c r="H52" s="378" t="s">
        <v>2</v>
      </c>
      <c r="I52" s="378" t="s">
        <v>3</v>
      </c>
      <c r="J52" s="378" t="s">
        <v>8</v>
      </c>
      <c r="K52" s="378" t="s">
        <v>9</v>
      </c>
      <c r="L52" s="378" t="s">
        <v>1963</v>
      </c>
      <c r="M52" s="378" t="s">
        <v>1964</v>
      </c>
    </row>
    <row r="53" spans="1:13" s="42" customFormat="1" ht="59.25" customHeight="1" thickTop="1" thickBot="1" x14ac:dyDescent="0.3">
      <c r="A53" s="383" t="s">
        <v>2456</v>
      </c>
      <c r="B53" s="625" t="s">
        <v>2532</v>
      </c>
      <c r="C53" s="651" t="s">
        <v>18</v>
      </c>
      <c r="D53" s="381">
        <v>3</v>
      </c>
      <c r="E53" s="381">
        <v>30</v>
      </c>
      <c r="F53" s="381">
        <v>3</v>
      </c>
      <c r="G53" s="381">
        <v>848</v>
      </c>
      <c r="H53" s="384">
        <f>376500000+60000000</f>
        <v>436500000</v>
      </c>
      <c r="I53" s="388">
        <v>282615500</v>
      </c>
      <c r="J53" s="387" t="s">
        <v>805</v>
      </c>
      <c r="K53" s="384" t="s">
        <v>20</v>
      </c>
      <c r="L53" s="381">
        <v>2574</v>
      </c>
      <c r="M53" s="381">
        <v>2574</v>
      </c>
    </row>
    <row r="54" spans="1:13" s="42" customFormat="1" ht="32.25" customHeight="1" thickTop="1" thickBot="1" x14ac:dyDescent="0.3">
      <c r="A54" s="608" t="s">
        <v>2456</v>
      </c>
      <c r="B54" s="625" t="s">
        <v>2532</v>
      </c>
      <c r="C54" s="653"/>
      <c r="D54" s="382">
        <v>3</v>
      </c>
      <c r="E54" s="382">
        <v>30</v>
      </c>
      <c r="F54" s="382">
        <v>3</v>
      </c>
      <c r="G54" s="382">
        <v>960</v>
      </c>
      <c r="H54" s="382">
        <v>73712728</v>
      </c>
      <c r="I54" s="382">
        <v>0</v>
      </c>
      <c r="J54" s="380" t="s">
        <v>806</v>
      </c>
      <c r="K54" s="382" t="s">
        <v>16</v>
      </c>
      <c r="L54" s="382">
        <v>2</v>
      </c>
      <c r="M54" s="382">
        <v>0</v>
      </c>
    </row>
    <row r="55" spans="1:13" s="42" customFormat="1" ht="42.75" customHeight="1" thickTop="1" thickBot="1" x14ac:dyDescent="0.3">
      <c r="A55" s="608" t="s">
        <v>2456</v>
      </c>
      <c r="B55" s="625" t="s">
        <v>2532</v>
      </c>
      <c r="C55" s="654" t="s">
        <v>53</v>
      </c>
      <c r="D55" s="382">
        <v>3</v>
      </c>
      <c r="E55" s="382">
        <v>30</v>
      </c>
      <c r="F55" s="382">
        <v>3</v>
      </c>
      <c r="G55" s="382">
        <v>520</v>
      </c>
      <c r="H55" s="379">
        <f>496850727+140000000</f>
        <v>636850727</v>
      </c>
      <c r="I55" s="382">
        <f>662873500-80500000</f>
        <v>582373500</v>
      </c>
      <c r="J55" s="380" t="s">
        <v>2098</v>
      </c>
      <c r="K55" s="382" t="s">
        <v>55</v>
      </c>
      <c r="L55" s="379">
        <v>9</v>
      </c>
      <c r="M55" s="379">
        <v>8</v>
      </c>
    </row>
    <row r="56" spans="1:13" s="42" customFormat="1" ht="35.25" thickTop="1" thickBot="1" x14ac:dyDescent="0.3">
      <c r="A56" s="608" t="s">
        <v>2456</v>
      </c>
      <c r="B56" s="625" t="s">
        <v>2532</v>
      </c>
      <c r="C56" s="654"/>
      <c r="D56" s="382">
        <v>3</v>
      </c>
      <c r="E56" s="382">
        <v>30</v>
      </c>
      <c r="F56" s="382">
        <v>3</v>
      </c>
      <c r="G56" s="382">
        <v>520</v>
      </c>
      <c r="H56" s="379">
        <v>69550230</v>
      </c>
      <c r="I56" s="382">
        <v>0</v>
      </c>
      <c r="J56" s="380" t="s">
        <v>807</v>
      </c>
      <c r="K56" s="382" t="s">
        <v>25</v>
      </c>
      <c r="L56" s="379">
        <v>3</v>
      </c>
      <c r="M56" s="379">
        <v>0</v>
      </c>
    </row>
    <row r="57" spans="1:13" s="42" customFormat="1" ht="38.25" customHeight="1" thickTop="1" thickBot="1" x14ac:dyDescent="0.3">
      <c r="A57" s="608" t="s">
        <v>2456</v>
      </c>
      <c r="B57" s="625" t="s">
        <v>2532</v>
      </c>
      <c r="C57" s="654"/>
      <c r="D57" s="382">
        <v>3</v>
      </c>
      <c r="E57" s="382">
        <v>30</v>
      </c>
      <c r="F57" s="382">
        <v>3</v>
      </c>
      <c r="G57" s="382">
        <v>520</v>
      </c>
      <c r="H57" s="379">
        <v>31999770</v>
      </c>
      <c r="I57" s="382">
        <v>0</v>
      </c>
      <c r="J57" s="380" t="s">
        <v>808</v>
      </c>
      <c r="K57" s="382" t="s">
        <v>55</v>
      </c>
      <c r="L57" s="379">
        <v>3</v>
      </c>
      <c r="M57" s="379">
        <v>0</v>
      </c>
    </row>
    <row r="58" spans="1:13" s="42" customFormat="1" ht="38.25" customHeight="1" thickTop="1" thickBot="1" x14ac:dyDescent="0.3">
      <c r="A58" s="608" t="s">
        <v>2456</v>
      </c>
      <c r="B58" s="625" t="s">
        <v>2532</v>
      </c>
      <c r="C58" s="383" t="s">
        <v>440</v>
      </c>
      <c r="D58" s="382">
        <v>3</v>
      </c>
      <c r="E58" s="382">
        <v>30</v>
      </c>
      <c r="F58" s="382">
        <v>3</v>
      </c>
      <c r="G58" s="382">
        <v>520</v>
      </c>
      <c r="H58" s="379">
        <v>210099273</v>
      </c>
      <c r="I58" s="382">
        <v>80500000</v>
      </c>
      <c r="J58" s="380" t="s">
        <v>809</v>
      </c>
      <c r="K58" s="382" t="s">
        <v>13</v>
      </c>
      <c r="L58" s="379">
        <v>8</v>
      </c>
      <c r="M58" s="379">
        <v>3</v>
      </c>
    </row>
    <row r="59" spans="1:13" s="42" customFormat="1" ht="35.25" thickTop="1" thickBot="1" x14ac:dyDescent="0.3">
      <c r="A59" s="608" t="s">
        <v>2456</v>
      </c>
      <c r="B59" s="625" t="s">
        <v>2532</v>
      </c>
      <c r="C59" s="654" t="s">
        <v>105</v>
      </c>
      <c r="D59" s="382">
        <v>3</v>
      </c>
      <c r="E59" s="382">
        <v>30</v>
      </c>
      <c r="F59" s="382">
        <v>3</v>
      </c>
      <c r="G59" s="382">
        <v>540</v>
      </c>
      <c r="H59" s="379">
        <v>35000000</v>
      </c>
      <c r="I59" s="382">
        <v>12910800</v>
      </c>
      <c r="J59" s="380" t="s">
        <v>810</v>
      </c>
      <c r="K59" s="382" t="s">
        <v>604</v>
      </c>
      <c r="L59" s="379">
        <v>280</v>
      </c>
      <c r="M59" s="379">
        <v>207</v>
      </c>
    </row>
    <row r="60" spans="1:13" s="42" customFormat="1" ht="35.25" thickTop="1" thickBot="1" x14ac:dyDescent="0.3">
      <c r="A60" s="608" t="s">
        <v>2456</v>
      </c>
      <c r="B60" s="625" t="s">
        <v>2532</v>
      </c>
      <c r="C60" s="654"/>
      <c r="D60" s="382">
        <v>3</v>
      </c>
      <c r="E60" s="382">
        <v>30</v>
      </c>
      <c r="F60" s="382">
        <v>3</v>
      </c>
      <c r="G60" s="382">
        <v>540</v>
      </c>
      <c r="H60" s="379">
        <v>35000000</v>
      </c>
      <c r="I60" s="379">
        <v>12910800</v>
      </c>
      <c r="J60" s="380" t="s">
        <v>811</v>
      </c>
      <c r="K60" s="382" t="s">
        <v>44</v>
      </c>
      <c r="L60" s="379">
        <v>280</v>
      </c>
      <c r="M60" s="379">
        <v>207</v>
      </c>
    </row>
    <row r="61" spans="1:13" s="42" customFormat="1" ht="49.5" customHeight="1" thickTop="1" thickBot="1" x14ac:dyDescent="0.3">
      <c r="A61" s="608" t="s">
        <v>2456</v>
      </c>
      <c r="B61" s="625" t="s">
        <v>2532</v>
      </c>
      <c r="C61" s="382" t="s">
        <v>53</v>
      </c>
      <c r="D61" s="382">
        <v>3</v>
      </c>
      <c r="E61" s="382">
        <v>30</v>
      </c>
      <c r="F61" s="382">
        <v>3</v>
      </c>
      <c r="G61" s="382">
        <v>980</v>
      </c>
      <c r="H61" s="379">
        <v>171996365</v>
      </c>
      <c r="I61" s="379">
        <v>140830734</v>
      </c>
      <c r="J61" s="380" t="s">
        <v>812</v>
      </c>
      <c r="K61" s="382" t="s">
        <v>16</v>
      </c>
      <c r="L61" s="379">
        <v>3</v>
      </c>
      <c r="M61" s="379">
        <v>2.4</v>
      </c>
    </row>
    <row r="62" spans="1:13" s="42" customFormat="1" ht="16.5" thickTop="1" thickBot="1" x14ac:dyDescent="0.3">
      <c r="A62" s="63"/>
      <c r="B62" s="63"/>
      <c r="C62" s="63"/>
      <c r="D62" s="63"/>
      <c r="E62" s="63"/>
      <c r="F62" s="63"/>
      <c r="G62" s="63"/>
      <c r="H62" s="63"/>
      <c r="I62" s="63"/>
      <c r="J62" s="63"/>
      <c r="K62" s="63"/>
      <c r="L62" s="63"/>
      <c r="M62" s="63"/>
    </row>
    <row r="63" spans="1:13" s="42" customFormat="1" ht="30" customHeight="1" thickTop="1" thickBot="1" x14ac:dyDescent="0.3">
      <c r="A63" s="639" t="s">
        <v>0</v>
      </c>
      <c r="B63" s="639" t="s">
        <v>1</v>
      </c>
      <c r="C63" s="639" t="s">
        <v>2569</v>
      </c>
      <c r="D63" s="636" t="s">
        <v>1961</v>
      </c>
      <c r="E63" s="637"/>
      <c r="F63" s="637"/>
      <c r="G63" s="638"/>
      <c r="H63" s="636" t="s">
        <v>3</v>
      </c>
      <c r="I63" s="637"/>
      <c r="J63" s="636" t="s">
        <v>1962</v>
      </c>
      <c r="K63" s="637"/>
      <c r="L63" s="637"/>
      <c r="M63" s="638"/>
    </row>
    <row r="64" spans="1:13" s="42" customFormat="1" ht="35.25" customHeight="1" thickTop="1" thickBot="1" x14ac:dyDescent="0.3">
      <c r="A64" s="661"/>
      <c r="B64" s="661"/>
      <c r="C64" s="661"/>
      <c r="D64" s="378" t="s">
        <v>4</v>
      </c>
      <c r="E64" s="378" t="s">
        <v>5</v>
      </c>
      <c r="F64" s="378" t="s">
        <v>6</v>
      </c>
      <c r="G64" s="378" t="s">
        <v>7</v>
      </c>
      <c r="H64" s="378" t="s">
        <v>2</v>
      </c>
      <c r="I64" s="378" t="s">
        <v>3</v>
      </c>
      <c r="J64" s="378" t="s">
        <v>8</v>
      </c>
      <c r="K64" s="378" t="s">
        <v>9</v>
      </c>
      <c r="L64" s="378" t="s">
        <v>1963</v>
      </c>
      <c r="M64" s="378" t="s">
        <v>1964</v>
      </c>
    </row>
    <row r="65" spans="1:13" s="42" customFormat="1" ht="50.25" customHeight="1" thickTop="1" thickBot="1" x14ac:dyDescent="0.3">
      <c r="A65" s="383" t="s">
        <v>2535</v>
      </c>
      <c r="B65" s="307" t="s">
        <v>2532</v>
      </c>
      <c r="C65" s="382" t="s">
        <v>18</v>
      </c>
      <c r="D65" s="382">
        <v>2</v>
      </c>
      <c r="E65" s="382">
        <v>30</v>
      </c>
      <c r="F65" s="382">
        <v>3</v>
      </c>
      <c r="G65" s="382">
        <v>848</v>
      </c>
      <c r="H65" s="379">
        <v>311944671</v>
      </c>
      <c r="I65" s="379">
        <v>0</v>
      </c>
      <c r="J65" s="380" t="s">
        <v>813</v>
      </c>
      <c r="K65" s="382" t="s">
        <v>20</v>
      </c>
      <c r="L65" s="379">
        <v>650</v>
      </c>
      <c r="M65" s="379">
        <v>0</v>
      </c>
    </row>
    <row r="66" spans="1:13" s="42" customFormat="1" ht="39" customHeight="1" thickTop="1" thickBot="1" x14ac:dyDescent="0.3">
      <c r="A66" s="625" t="s">
        <v>2535</v>
      </c>
      <c r="B66" s="307" t="s">
        <v>2532</v>
      </c>
      <c r="C66" s="673" t="s">
        <v>53</v>
      </c>
      <c r="D66" s="382">
        <v>2</v>
      </c>
      <c r="E66" s="382">
        <v>30</v>
      </c>
      <c r="F66" s="382">
        <v>3</v>
      </c>
      <c r="G66" s="382">
        <v>520</v>
      </c>
      <c r="H66" s="379">
        <v>115000000</v>
      </c>
      <c r="I66" s="379">
        <v>112138400</v>
      </c>
      <c r="J66" s="380" t="s">
        <v>814</v>
      </c>
      <c r="K66" s="382" t="s">
        <v>158</v>
      </c>
      <c r="L66" s="379">
        <v>2400</v>
      </c>
      <c r="M66" s="379">
        <v>2350</v>
      </c>
    </row>
    <row r="67" spans="1:13" s="42" customFormat="1" ht="35.25" customHeight="1" thickTop="1" thickBot="1" x14ac:dyDescent="0.3">
      <c r="A67" s="625" t="s">
        <v>2535</v>
      </c>
      <c r="B67" s="307" t="s">
        <v>2532</v>
      </c>
      <c r="C67" s="674"/>
      <c r="D67" s="382">
        <v>2</v>
      </c>
      <c r="E67" s="382">
        <v>30</v>
      </c>
      <c r="F67" s="382">
        <v>3</v>
      </c>
      <c r="G67" s="382">
        <v>520</v>
      </c>
      <c r="H67" s="379">
        <v>612870898</v>
      </c>
      <c r="I67" s="379">
        <v>250170804</v>
      </c>
      <c r="J67" s="380" t="s">
        <v>815</v>
      </c>
      <c r="K67" s="382" t="s">
        <v>55</v>
      </c>
      <c r="L67" s="379">
        <v>10</v>
      </c>
      <c r="M67" s="379">
        <v>4</v>
      </c>
    </row>
    <row r="68" spans="1:13" s="42" customFormat="1" ht="16.5" customHeight="1" thickTop="1" thickBot="1" x14ac:dyDescent="0.3">
      <c r="A68" s="63"/>
      <c r="B68" s="63"/>
      <c r="C68" s="63"/>
      <c r="D68" s="63"/>
      <c r="E68" s="63"/>
      <c r="F68" s="63"/>
      <c r="G68" s="63"/>
      <c r="H68" s="63"/>
      <c r="I68" s="63"/>
      <c r="J68" s="63"/>
      <c r="K68" s="63"/>
      <c r="L68" s="63"/>
      <c r="M68" s="63"/>
    </row>
    <row r="69" spans="1:13" s="42" customFormat="1" ht="30" customHeight="1" thickTop="1" thickBot="1" x14ac:dyDescent="0.3">
      <c r="A69" s="639" t="s">
        <v>0</v>
      </c>
      <c r="B69" s="639" t="s">
        <v>1</v>
      </c>
      <c r="C69" s="639" t="s">
        <v>2569</v>
      </c>
      <c r="D69" s="636" t="s">
        <v>1961</v>
      </c>
      <c r="E69" s="637"/>
      <c r="F69" s="637"/>
      <c r="G69" s="638"/>
      <c r="H69" s="636" t="s">
        <v>3</v>
      </c>
      <c r="I69" s="637"/>
      <c r="J69" s="636" t="s">
        <v>1962</v>
      </c>
      <c r="K69" s="637"/>
      <c r="L69" s="637"/>
      <c r="M69" s="638"/>
    </row>
    <row r="70" spans="1:13" s="42" customFormat="1" ht="33" thickTop="1" thickBot="1" x14ac:dyDescent="0.3">
      <c r="A70" s="661"/>
      <c r="B70" s="661"/>
      <c r="C70" s="661"/>
      <c r="D70" s="378" t="s">
        <v>4</v>
      </c>
      <c r="E70" s="378" t="s">
        <v>5</v>
      </c>
      <c r="F70" s="378" t="s">
        <v>6</v>
      </c>
      <c r="G70" s="378" t="s">
        <v>7</v>
      </c>
      <c r="H70" s="378" t="s">
        <v>2</v>
      </c>
      <c r="I70" s="378" t="s">
        <v>3</v>
      </c>
      <c r="J70" s="378" t="s">
        <v>8</v>
      </c>
      <c r="K70" s="378" t="s">
        <v>9</v>
      </c>
      <c r="L70" s="378" t="s">
        <v>1963</v>
      </c>
      <c r="M70" s="378" t="s">
        <v>1964</v>
      </c>
    </row>
    <row r="71" spans="1:13" s="42" customFormat="1" ht="50.25" customHeight="1" thickTop="1" thickBot="1" x14ac:dyDescent="0.3">
      <c r="A71" s="383" t="s">
        <v>2457</v>
      </c>
      <c r="B71" s="307" t="s">
        <v>2532</v>
      </c>
      <c r="C71" s="384" t="s">
        <v>18</v>
      </c>
      <c r="D71" s="384">
        <v>3</v>
      </c>
      <c r="E71" s="384">
        <v>30</v>
      </c>
      <c r="F71" s="384">
        <v>3</v>
      </c>
      <c r="G71" s="384">
        <v>848</v>
      </c>
      <c r="H71" s="388">
        <v>456428343</v>
      </c>
      <c r="I71" s="388">
        <v>396831150</v>
      </c>
      <c r="J71" s="375" t="s">
        <v>817</v>
      </c>
      <c r="K71" s="384" t="s">
        <v>20</v>
      </c>
      <c r="L71" s="388">
        <v>957</v>
      </c>
      <c r="M71" s="388">
        <v>957</v>
      </c>
    </row>
    <row r="72" spans="1:13" s="42" customFormat="1" ht="35.25" customHeight="1" thickTop="1" thickBot="1" x14ac:dyDescent="0.3">
      <c r="A72" s="608" t="s">
        <v>2457</v>
      </c>
      <c r="B72" s="307" t="s">
        <v>2532</v>
      </c>
      <c r="C72" s="672" t="s">
        <v>53</v>
      </c>
      <c r="D72" s="385">
        <v>3</v>
      </c>
      <c r="E72" s="385">
        <v>30</v>
      </c>
      <c r="F72" s="385">
        <v>3</v>
      </c>
      <c r="G72" s="385">
        <v>520</v>
      </c>
      <c r="H72" s="385">
        <v>365439405</v>
      </c>
      <c r="I72" s="385">
        <v>199012302</v>
      </c>
      <c r="J72" s="340" t="s">
        <v>818</v>
      </c>
      <c r="K72" s="385" t="s">
        <v>81</v>
      </c>
      <c r="L72" s="385">
        <v>1</v>
      </c>
      <c r="M72" s="385">
        <v>0</v>
      </c>
    </row>
    <row r="73" spans="1:13" s="42" customFormat="1" ht="35.25" customHeight="1" thickTop="1" thickBot="1" x14ac:dyDescent="0.3">
      <c r="A73" s="608" t="s">
        <v>2457</v>
      </c>
      <c r="B73" s="307" t="s">
        <v>2532</v>
      </c>
      <c r="C73" s="672"/>
      <c r="D73" s="385">
        <v>3</v>
      </c>
      <c r="E73" s="385">
        <v>30</v>
      </c>
      <c r="F73" s="385">
        <v>3</v>
      </c>
      <c r="G73" s="385">
        <v>520</v>
      </c>
      <c r="H73" s="385">
        <v>160000000</v>
      </c>
      <c r="I73" s="385">
        <v>33000000</v>
      </c>
      <c r="J73" s="340" t="s">
        <v>819</v>
      </c>
      <c r="K73" s="385" t="s">
        <v>28</v>
      </c>
      <c r="L73" s="385">
        <v>1</v>
      </c>
      <c r="M73" s="385">
        <v>0</v>
      </c>
    </row>
    <row r="74" spans="1:13" s="42" customFormat="1" ht="35.25" customHeight="1" thickTop="1" thickBot="1" x14ac:dyDescent="0.3">
      <c r="A74" s="608" t="s">
        <v>2457</v>
      </c>
      <c r="B74" s="307" t="s">
        <v>2532</v>
      </c>
      <c r="C74" s="672"/>
      <c r="D74" s="385">
        <v>3</v>
      </c>
      <c r="E74" s="385">
        <v>30</v>
      </c>
      <c r="F74" s="385">
        <v>3</v>
      </c>
      <c r="G74" s="385">
        <v>520</v>
      </c>
      <c r="H74" s="385">
        <f>31852090+18255069</f>
        <v>50107159</v>
      </c>
      <c r="I74" s="385">
        <v>31852090</v>
      </c>
      <c r="J74" s="340" t="s">
        <v>820</v>
      </c>
      <c r="K74" s="385" t="s">
        <v>25</v>
      </c>
      <c r="L74" s="385">
        <v>1</v>
      </c>
      <c r="M74" s="385">
        <v>1</v>
      </c>
    </row>
    <row r="75" spans="1:13" s="42" customFormat="1" ht="35.25" customHeight="1" thickTop="1" thickBot="1" x14ac:dyDescent="0.3">
      <c r="A75" s="608" t="s">
        <v>2457</v>
      </c>
      <c r="B75" s="307" t="s">
        <v>2532</v>
      </c>
      <c r="C75" s="672"/>
      <c r="D75" s="385">
        <v>3</v>
      </c>
      <c r="E75" s="385">
        <v>30</v>
      </c>
      <c r="F75" s="385">
        <v>3</v>
      </c>
      <c r="G75" s="385">
        <v>520</v>
      </c>
      <c r="H75" s="385">
        <v>67875225</v>
      </c>
      <c r="I75" s="385">
        <v>44300180</v>
      </c>
      <c r="J75" s="340" t="s">
        <v>821</v>
      </c>
      <c r="K75" s="385" t="s">
        <v>81</v>
      </c>
      <c r="L75" s="385">
        <v>1</v>
      </c>
      <c r="M75" s="385">
        <v>0</v>
      </c>
    </row>
    <row r="76" spans="1:13" s="42" customFormat="1" ht="35.25" customHeight="1" thickTop="1" thickBot="1" x14ac:dyDescent="0.3">
      <c r="A76" s="608" t="s">
        <v>2457</v>
      </c>
      <c r="B76" s="307" t="s">
        <v>2532</v>
      </c>
      <c r="C76" s="672"/>
      <c r="D76" s="385">
        <v>3</v>
      </c>
      <c r="E76" s="385">
        <v>30</v>
      </c>
      <c r="F76" s="385">
        <v>3</v>
      </c>
      <c r="G76" s="385">
        <v>520</v>
      </c>
      <c r="H76" s="385">
        <v>219423042</v>
      </c>
      <c r="I76" s="385">
        <v>155538434</v>
      </c>
      <c r="J76" s="340" t="s">
        <v>822</v>
      </c>
      <c r="K76" s="385" t="s">
        <v>55</v>
      </c>
      <c r="L76" s="385">
        <v>1</v>
      </c>
      <c r="M76" s="385">
        <v>0</v>
      </c>
    </row>
    <row r="77" spans="1:13" s="42" customFormat="1" ht="36" customHeight="1" thickTop="1" thickBot="1" x14ac:dyDescent="0.3">
      <c r="A77" s="608" t="s">
        <v>2457</v>
      </c>
      <c r="B77" s="307" t="s">
        <v>2532</v>
      </c>
      <c r="C77" s="672"/>
      <c r="D77" s="385">
        <v>3</v>
      </c>
      <c r="E77" s="385">
        <v>30</v>
      </c>
      <c r="F77" s="385">
        <v>3</v>
      </c>
      <c r="G77" s="385">
        <v>520</v>
      </c>
      <c r="H77" s="385">
        <v>149229978</v>
      </c>
      <c r="I77" s="385">
        <v>109383981</v>
      </c>
      <c r="J77" s="340" t="s">
        <v>823</v>
      </c>
      <c r="K77" s="385" t="s">
        <v>25</v>
      </c>
      <c r="L77" s="385">
        <v>1</v>
      </c>
      <c r="M77" s="385">
        <v>0</v>
      </c>
    </row>
    <row r="78" spans="1:13" s="42" customFormat="1" ht="34.5" customHeight="1" thickTop="1" thickBot="1" x14ac:dyDescent="0.3">
      <c r="A78" s="608" t="s">
        <v>2457</v>
      </c>
      <c r="B78" s="307" t="s">
        <v>2532</v>
      </c>
      <c r="C78" s="672" t="s">
        <v>105</v>
      </c>
      <c r="D78" s="385">
        <v>3</v>
      </c>
      <c r="E78" s="385">
        <v>30</v>
      </c>
      <c r="F78" s="385">
        <v>3</v>
      </c>
      <c r="G78" s="385">
        <v>540</v>
      </c>
      <c r="H78" s="385">
        <v>36175763</v>
      </c>
      <c r="I78" s="385">
        <v>14380716</v>
      </c>
      <c r="J78" s="340" t="s">
        <v>824</v>
      </c>
      <c r="K78" s="385" t="s">
        <v>17</v>
      </c>
      <c r="L78" s="385">
        <v>4</v>
      </c>
      <c r="M78" s="385">
        <v>4</v>
      </c>
    </row>
    <row r="79" spans="1:13" s="42" customFormat="1" ht="34.5" customHeight="1" thickTop="1" thickBot="1" x14ac:dyDescent="0.3">
      <c r="A79" s="608" t="s">
        <v>2457</v>
      </c>
      <c r="B79" s="307" t="s">
        <v>2532</v>
      </c>
      <c r="C79" s="672"/>
      <c r="D79" s="385">
        <v>3</v>
      </c>
      <c r="E79" s="385">
        <v>30</v>
      </c>
      <c r="F79" s="385">
        <v>3</v>
      </c>
      <c r="G79" s="385">
        <v>540</v>
      </c>
      <c r="H79" s="385">
        <v>10000000</v>
      </c>
      <c r="I79" s="385">
        <v>4317000</v>
      </c>
      <c r="J79" s="340" t="s">
        <v>825</v>
      </c>
      <c r="K79" s="385" t="s">
        <v>17</v>
      </c>
      <c r="L79" s="385">
        <v>2</v>
      </c>
      <c r="M79" s="385">
        <v>2</v>
      </c>
    </row>
    <row r="80" spans="1:13" s="42" customFormat="1" ht="16.5" thickTop="1" thickBot="1" x14ac:dyDescent="0.3">
      <c r="A80" s="63"/>
      <c r="B80" s="63"/>
      <c r="C80" s="63"/>
      <c r="D80" s="63"/>
      <c r="E80" s="63"/>
      <c r="F80" s="63"/>
      <c r="G80" s="63"/>
      <c r="H80" s="63"/>
      <c r="I80" s="63"/>
      <c r="J80" s="63"/>
      <c r="K80" s="63"/>
      <c r="L80" s="63"/>
      <c r="M80" s="63"/>
    </row>
    <row r="81" spans="1:13" s="42" customFormat="1" ht="40.5" customHeight="1" thickTop="1" thickBot="1" x14ac:dyDescent="0.3">
      <c r="A81" s="639" t="s">
        <v>0</v>
      </c>
      <c r="B81" s="639" t="s">
        <v>1</v>
      </c>
      <c r="C81" s="639" t="s">
        <v>2569</v>
      </c>
      <c r="D81" s="636" t="s">
        <v>1961</v>
      </c>
      <c r="E81" s="637"/>
      <c r="F81" s="637"/>
      <c r="G81" s="638"/>
      <c r="H81" s="636" t="s">
        <v>3</v>
      </c>
      <c r="I81" s="637"/>
      <c r="J81" s="636" t="s">
        <v>1962</v>
      </c>
      <c r="K81" s="637"/>
      <c r="L81" s="637"/>
      <c r="M81" s="638"/>
    </row>
    <row r="82" spans="1:13" s="42" customFormat="1" ht="33" thickTop="1" thickBot="1" x14ac:dyDescent="0.3">
      <c r="A82" s="661"/>
      <c r="B82" s="661"/>
      <c r="C82" s="661"/>
      <c r="D82" s="378" t="s">
        <v>4</v>
      </c>
      <c r="E82" s="378" t="s">
        <v>5</v>
      </c>
      <c r="F82" s="378" t="s">
        <v>6</v>
      </c>
      <c r="G82" s="378" t="s">
        <v>7</v>
      </c>
      <c r="H82" s="378" t="s">
        <v>2</v>
      </c>
      <c r="I82" s="378" t="s">
        <v>3</v>
      </c>
      <c r="J82" s="378" t="s">
        <v>8</v>
      </c>
      <c r="K82" s="378" t="s">
        <v>9</v>
      </c>
      <c r="L82" s="378" t="s">
        <v>1963</v>
      </c>
      <c r="M82" s="378" t="s">
        <v>1964</v>
      </c>
    </row>
    <row r="83" spans="1:13" s="42" customFormat="1" ht="40.5" customHeight="1" thickTop="1" thickBot="1" x14ac:dyDescent="0.3">
      <c r="A83" s="383" t="s">
        <v>2458</v>
      </c>
      <c r="B83" s="307" t="s">
        <v>2532</v>
      </c>
      <c r="C83" s="383" t="s">
        <v>18</v>
      </c>
      <c r="D83" s="382">
        <v>2</v>
      </c>
      <c r="E83" s="382">
        <v>30</v>
      </c>
      <c r="F83" s="382">
        <v>3</v>
      </c>
      <c r="G83" s="382">
        <v>848</v>
      </c>
      <c r="H83" s="379">
        <v>697448634</v>
      </c>
      <c r="I83" s="379">
        <v>555448000</v>
      </c>
      <c r="J83" s="380" t="s">
        <v>826</v>
      </c>
      <c r="K83" s="382" t="s">
        <v>20</v>
      </c>
      <c r="L83" s="379">
        <v>237</v>
      </c>
      <c r="M83" s="379">
        <v>190</v>
      </c>
    </row>
    <row r="84" spans="1:13" s="42" customFormat="1" ht="38.25" customHeight="1" thickTop="1" thickBot="1" x14ac:dyDescent="0.3">
      <c r="A84" s="608" t="s">
        <v>2458</v>
      </c>
      <c r="B84" s="307" t="s">
        <v>2532</v>
      </c>
      <c r="C84" s="654" t="s">
        <v>53</v>
      </c>
      <c r="D84" s="382">
        <v>2</v>
      </c>
      <c r="E84" s="382">
        <v>30</v>
      </c>
      <c r="F84" s="382">
        <v>3</v>
      </c>
      <c r="G84" s="382">
        <v>520</v>
      </c>
      <c r="H84" s="379">
        <f>373000000+175000000</f>
        <v>548000000</v>
      </c>
      <c r="I84" s="379">
        <f>51140275+300000000</f>
        <v>351140275</v>
      </c>
      <c r="J84" s="380" t="s">
        <v>827</v>
      </c>
      <c r="K84" s="382" t="s">
        <v>55</v>
      </c>
      <c r="L84" s="379">
        <v>9</v>
      </c>
      <c r="M84" s="379">
        <v>6</v>
      </c>
    </row>
    <row r="85" spans="1:13" s="42" customFormat="1" ht="35.25" thickTop="1" thickBot="1" x14ac:dyDescent="0.3">
      <c r="A85" s="608" t="s">
        <v>2458</v>
      </c>
      <c r="B85" s="307" t="s">
        <v>2532</v>
      </c>
      <c r="C85" s="654"/>
      <c r="D85" s="382">
        <v>2</v>
      </c>
      <c r="E85" s="382">
        <v>30</v>
      </c>
      <c r="F85" s="382">
        <v>3</v>
      </c>
      <c r="G85" s="382">
        <v>520</v>
      </c>
      <c r="H85" s="379">
        <v>86000000</v>
      </c>
      <c r="I85" s="379">
        <v>86000000</v>
      </c>
      <c r="J85" s="380" t="s">
        <v>828</v>
      </c>
      <c r="K85" s="382" t="s">
        <v>25</v>
      </c>
      <c r="L85" s="379">
        <v>2</v>
      </c>
      <c r="M85" s="379">
        <v>2</v>
      </c>
    </row>
    <row r="86" spans="1:13" s="42" customFormat="1" ht="33" customHeight="1" thickTop="1" thickBot="1" x14ac:dyDescent="0.3">
      <c r="A86" s="608" t="s">
        <v>2458</v>
      </c>
      <c r="B86" s="307" t="s">
        <v>2532</v>
      </c>
      <c r="C86" s="654"/>
      <c r="D86" s="382">
        <v>2</v>
      </c>
      <c r="E86" s="382">
        <v>30</v>
      </c>
      <c r="F86" s="382">
        <v>3</v>
      </c>
      <c r="G86" s="382">
        <v>520</v>
      </c>
      <c r="H86" s="379">
        <f>177800000-75104757-12214114</f>
        <v>90481129</v>
      </c>
      <c r="I86" s="379"/>
      <c r="J86" s="380" t="s">
        <v>829</v>
      </c>
      <c r="K86" s="382" t="s">
        <v>25</v>
      </c>
      <c r="L86" s="379">
        <v>4</v>
      </c>
      <c r="M86" s="379">
        <v>0</v>
      </c>
    </row>
    <row r="87" spans="1:13" s="42" customFormat="1" ht="41.25" customHeight="1" thickTop="1" thickBot="1" x14ac:dyDescent="0.3">
      <c r="A87" s="608" t="s">
        <v>2458</v>
      </c>
      <c r="B87" s="307" t="s">
        <v>2532</v>
      </c>
      <c r="C87" s="654"/>
      <c r="D87" s="382">
        <v>2</v>
      </c>
      <c r="E87" s="382">
        <v>30</v>
      </c>
      <c r="F87" s="382">
        <v>3</v>
      </c>
      <c r="G87" s="382">
        <v>520</v>
      </c>
      <c r="H87" s="379">
        <f>172200000+8454707+615626567</f>
        <v>796281274</v>
      </c>
      <c r="I87" s="379">
        <v>78968748</v>
      </c>
      <c r="J87" s="380" t="s">
        <v>830</v>
      </c>
      <c r="K87" s="382" t="s">
        <v>55</v>
      </c>
      <c r="L87" s="379">
        <v>6</v>
      </c>
      <c r="M87" s="379">
        <v>1</v>
      </c>
    </row>
    <row r="88" spans="1:13" s="42" customFormat="1" ht="42" customHeight="1" thickTop="1" thickBot="1" x14ac:dyDescent="0.3">
      <c r="A88" s="608" t="s">
        <v>2458</v>
      </c>
      <c r="B88" s="307" t="s">
        <v>2532</v>
      </c>
      <c r="C88" s="383" t="s">
        <v>105</v>
      </c>
      <c r="D88" s="382">
        <v>2</v>
      </c>
      <c r="E88" s="382">
        <v>30</v>
      </c>
      <c r="F88" s="382">
        <v>3</v>
      </c>
      <c r="G88" s="382">
        <v>540</v>
      </c>
      <c r="H88" s="379">
        <v>115072451</v>
      </c>
      <c r="I88" s="379">
        <v>0</v>
      </c>
      <c r="J88" s="380" t="s">
        <v>831</v>
      </c>
      <c r="K88" s="382" t="s">
        <v>261</v>
      </c>
      <c r="L88" s="379">
        <v>400</v>
      </c>
      <c r="M88" s="379">
        <v>0</v>
      </c>
    </row>
    <row r="89" spans="1:13" s="42" customFormat="1" ht="16.5" thickTop="1" thickBot="1" x14ac:dyDescent="0.3"/>
    <row r="90" spans="1:13" s="42" customFormat="1" ht="30" customHeight="1" thickTop="1" thickBot="1" x14ac:dyDescent="0.3">
      <c r="A90" s="639" t="s">
        <v>0</v>
      </c>
      <c r="B90" s="639" t="s">
        <v>1</v>
      </c>
      <c r="C90" s="639" t="s">
        <v>2569</v>
      </c>
      <c r="D90" s="636" t="s">
        <v>1961</v>
      </c>
      <c r="E90" s="637"/>
      <c r="F90" s="637"/>
      <c r="G90" s="638"/>
      <c r="H90" s="636" t="s">
        <v>3</v>
      </c>
      <c r="I90" s="637"/>
      <c r="J90" s="636" t="s">
        <v>1962</v>
      </c>
      <c r="K90" s="637"/>
      <c r="L90" s="637"/>
      <c r="M90" s="638"/>
    </row>
    <row r="91" spans="1:13" s="42" customFormat="1" ht="35.25" customHeight="1" thickTop="1" thickBot="1" x14ac:dyDescent="0.3">
      <c r="A91" s="661"/>
      <c r="B91" s="661"/>
      <c r="C91" s="661"/>
      <c r="D91" s="378" t="s">
        <v>4</v>
      </c>
      <c r="E91" s="378" t="s">
        <v>5</v>
      </c>
      <c r="F91" s="378" t="s">
        <v>6</v>
      </c>
      <c r="G91" s="378" t="s">
        <v>7</v>
      </c>
      <c r="H91" s="378" t="s">
        <v>2</v>
      </c>
      <c r="I91" s="378" t="s">
        <v>3</v>
      </c>
      <c r="J91" s="378" t="s">
        <v>8</v>
      </c>
      <c r="K91" s="378" t="s">
        <v>9</v>
      </c>
      <c r="L91" s="378" t="s">
        <v>1963</v>
      </c>
      <c r="M91" s="378" t="s">
        <v>1964</v>
      </c>
    </row>
    <row r="92" spans="1:13" s="42" customFormat="1" ht="36" customHeight="1" thickTop="1" thickBot="1" x14ac:dyDescent="0.3">
      <c r="A92" s="383" t="s">
        <v>2459</v>
      </c>
      <c r="B92" s="307" t="s">
        <v>2532</v>
      </c>
      <c r="C92" s="651" t="s">
        <v>18</v>
      </c>
      <c r="D92" s="382">
        <v>2</v>
      </c>
      <c r="E92" s="382">
        <v>30</v>
      </c>
      <c r="F92" s="382">
        <v>3</v>
      </c>
      <c r="G92" s="382">
        <v>960</v>
      </c>
      <c r="H92" s="379">
        <v>57204000</v>
      </c>
      <c r="I92" s="379">
        <v>57204000</v>
      </c>
      <c r="J92" s="380" t="s">
        <v>832</v>
      </c>
      <c r="K92" s="382" t="s">
        <v>16</v>
      </c>
      <c r="L92" s="379">
        <v>1</v>
      </c>
      <c r="M92" s="379">
        <v>1</v>
      </c>
    </row>
    <row r="93" spans="1:13" s="42" customFormat="1" ht="43.5" customHeight="1" thickTop="1" thickBot="1" x14ac:dyDescent="0.3">
      <c r="A93" s="608" t="s">
        <v>2459</v>
      </c>
      <c r="B93" s="307" t="s">
        <v>2532</v>
      </c>
      <c r="C93" s="653"/>
      <c r="D93" s="382">
        <v>2</v>
      </c>
      <c r="E93" s="382">
        <v>30</v>
      </c>
      <c r="F93" s="382">
        <v>3</v>
      </c>
      <c r="G93" s="382">
        <v>848</v>
      </c>
      <c r="H93" s="379">
        <v>306125046</v>
      </c>
      <c r="I93" s="379">
        <v>202500000</v>
      </c>
      <c r="J93" s="380" t="s">
        <v>833</v>
      </c>
      <c r="K93" s="382" t="s">
        <v>20</v>
      </c>
      <c r="L93" s="379">
        <v>300</v>
      </c>
      <c r="M93" s="379">
        <v>254</v>
      </c>
    </row>
    <row r="94" spans="1:13" s="42" customFormat="1" ht="34.5" customHeight="1" thickTop="1" thickBot="1" x14ac:dyDescent="0.3">
      <c r="A94" s="608" t="s">
        <v>2459</v>
      </c>
      <c r="B94" s="307" t="s">
        <v>2532</v>
      </c>
      <c r="C94" s="651" t="s">
        <v>53</v>
      </c>
      <c r="D94" s="382">
        <v>2</v>
      </c>
      <c r="E94" s="382">
        <v>30</v>
      </c>
      <c r="F94" s="382">
        <v>3</v>
      </c>
      <c r="G94" s="382">
        <v>520</v>
      </c>
      <c r="H94" s="379">
        <v>703958769</v>
      </c>
      <c r="I94" s="379">
        <v>255884656</v>
      </c>
      <c r="J94" s="380" t="s">
        <v>834</v>
      </c>
      <c r="K94" s="382" t="s">
        <v>55</v>
      </c>
      <c r="L94" s="379">
        <v>5</v>
      </c>
      <c r="M94" s="379">
        <v>5</v>
      </c>
    </row>
    <row r="95" spans="1:13" s="42" customFormat="1" ht="42.75" customHeight="1" thickTop="1" thickBot="1" x14ac:dyDescent="0.3">
      <c r="A95" s="608" t="s">
        <v>2459</v>
      </c>
      <c r="B95" s="307" t="s">
        <v>2532</v>
      </c>
      <c r="C95" s="653"/>
      <c r="D95" s="382">
        <v>2</v>
      </c>
      <c r="E95" s="382">
        <v>30</v>
      </c>
      <c r="F95" s="382">
        <v>3</v>
      </c>
      <c r="G95" s="382">
        <v>980</v>
      </c>
      <c r="H95" s="379">
        <v>143809000</v>
      </c>
      <c r="I95" s="379">
        <v>143809000</v>
      </c>
      <c r="J95" s="380" t="s">
        <v>835</v>
      </c>
      <c r="K95" s="382" t="s">
        <v>16</v>
      </c>
      <c r="L95" s="379">
        <v>3</v>
      </c>
      <c r="M95" s="379">
        <v>3</v>
      </c>
    </row>
    <row r="96" spans="1:13" s="42" customFormat="1" ht="15.75" thickTop="1" x14ac:dyDescent="0.25"/>
    <row r="97" s="42" customFormat="1" x14ac:dyDescent="0.25"/>
    <row r="98" s="42" customFormat="1" x14ac:dyDescent="0.25"/>
    <row r="99" s="42" customFormat="1" x14ac:dyDescent="0.25"/>
    <row r="100" s="42" customFormat="1" x14ac:dyDescent="0.25"/>
    <row r="101" s="42" customFormat="1" x14ac:dyDescent="0.25"/>
    <row r="102" s="42" customFormat="1" x14ac:dyDescent="0.25"/>
    <row r="103" s="42" customFormat="1" x14ac:dyDescent="0.25"/>
    <row r="104" s="42" customFormat="1" x14ac:dyDescent="0.25"/>
    <row r="105" s="42" customFormat="1" x14ac:dyDescent="0.25"/>
    <row r="106" s="42" customFormat="1" x14ac:dyDescent="0.25"/>
    <row r="107" s="42" customFormat="1" x14ac:dyDescent="0.25"/>
    <row r="108" s="42" customFormat="1" x14ac:dyDescent="0.25"/>
    <row r="109" s="42" customFormat="1" x14ac:dyDescent="0.25"/>
    <row r="110" s="42" customFormat="1" x14ac:dyDescent="0.25"/>
    <row r="111" s="42" customFormat="1" x14ac:dyDescent="0.25"/>
    <row r="112" s="42" customFormat="1" x14ac:dyDescent="0.25"/>
    <row r="113" s="42" customFormat="1" x14ac:dyDescent="0.25"/>
    <row r="114" s="42" customFormat="1" x14ac:dyDescent="0.25"/>
    <row r="115" s="42" customFormat="1" x14ac:dyDescent="0.25"/>
    <row r="116" s="42" customFormat="1" x14ac:dyDescent="0.25"/>
    <row r="117" s="42" customFormat="1" x14ac:dyDescent="0.25"/>
    <row r="118" s="42" customFormat="1" x14ac:dyDescent="0.25"/>
    <row r="119" s="42" customFormat="1" x14ac:dyDescent="0.25"/>
    <row r="120" s="42" customFormat="1" x14ac:dyDescent="0.25"/>
    <row r="121" s="42" customFormat="1" x14ac:dyDescent="0.25"/>
    <row r="122" s="42" customFormat="1" x14ac:dyDescent="0.25"/>
    <row r="123" s="42" customFormat="1" x14ac:dyDescent="0.25"/>
    <row r="126" ht="63.75" customHeight="1" x14ac:dyDescent="0.25"/>
    <row r="127" ht="63.75" customHeight="1" x14ac:dyDescent="0.25"/>
  </sheetData>
  <mergeCells count="81">
    <mergeCell ref="A81:A82"/>
    <mergeCell ref="A90:A91"/>
    <mergeCell ref="A5:A6"/>
    <mergeCell ref="A11:A12"/>
    <mergeCell ref="A20:A21"/>
    <mergeCell ref="A27:A28"/>
    <mergeCell ref="A32:A33"/>
    <mergeCell ref="A39:A40"/>
    <mergeCell ref="A51:A52"/>
    <mergeCell ref="A63:A64"/>
    <mergeCell ref="A69:A70"/>
    <mergeCell ref="B5:B6"/>
    <mergeCell ref="C5:C6"/>
    <mergeCell ref="D5:G5"/>
    <mergeCell ref="H5:I5"/>
    <mergeCell ref="J5:M5"/>
    <mergeCell ref="H11:I11"/>
    <mergeCell ref="J11:M11"/>
    <mergeCell ref="C8:C9"/>
    <mergeCell ref="B11:B12"/>
    <mergeCell ref="C11:C12"/>
    <mergeCell ref="D11:G11"/>
    <mergeCell ref="B27:B28"/>
    <mergeCell ref="C27:C28"/>
    <mergeCell ref="D27:G27"/>
    <mergeCell ref="H20:I20"/>
    <mergeCell ref="J20:M20"/>
    <mergeCell ref="H27:I27"/>
    <mergeCell ref="J27:M27"/>
    <mergeCell ref="B20:B21"/>
    <mergeCell ref="C20:C21"/>
    <mergeCell ref="D20:G20"/>
    <mergeCell ref="B39:B40"/>
    <mergeCell ref="C39:C40"/>
    <mergeCell ref="D39:G39"/>
    <mergeCell ref="H32:I32"/>
    <mergeCell ref="J32:M32"/>
    <mergeCell ref="H39:I39"/>
    <mergeCell ref="J39:M39"/>
    <mergeCell ref="C36:C37"/>
    <mergeCell ref="C34:C35"/>
    <mergeCell ref="B32:B33"/>
    <mergeCell ref="C32:C33"/>
    <mergeCell ref="D32:G32"/>
    <mergeCell ref="H51:I51"/>
    <mergeCell ref="J51:M51"/>
    <mergeCell ref="C53:C54"/>
    <mergeCell ref="B51:B52"/>
    <mergeCell ref="C51:C52"/>
    <mergeCell ref="D51:G51"/>
    <mergeCell ref="D69:G69"/>
    <mergeCell ref="B63:B64"/>
    <mergeCell ref="H63:I63"/>
    <mergeCell ref="J63:M63"/>
    <mergeCell ref="H69:I69"/>
    <mergeCell ref="J69:M69"/>
    <mergeCell ref="C66:C67"/>
    <mergeCell ref="C63:C64"/>
    <mergeCell ref="D63:G63"/>
    <mergeCell ref="D90:G90"/>
    <mergeCell ref="H81:I81"/>
    <mergeCell ref="J81:M81"/>
    <mergeCell ref="H90:I90"/>
    <mergeCell ref="J90:M90"/>
    <mergeCell ref="D81:G81"/>
    <mergeCell ref="C92:C93"/>
    <mergeCell ref="C94:C95"/>
    <mergeCell ref="C14:C16"/>
    <mergeCell ref="B90:B91"/>
    <mergeCell ref="C90:C91"/>
    <mergeCell ref="C72:C77"/>
    <mergeCell ref="C78:C79"/>
    <mergeCell ref="B81:B82"/>
    <mergeCell ref="C81:C82"/>
    <mergeCell ref="C84:C87"/>
    <mergeCell ref="B69:B70"/>
    <mergeCell ref="C69:C70"/>
    <mergeCell ref="C55:C57"/>
    <mergeCell ref="C59:C60"/>
    <mergeCell ref="C42:C45"/>
    <mergeCell ref="C46:C4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68"/>
  <sheetViews>
    <sheetView showGridLines="0" topLeftCell="A16" zoomScaleNormal="100" workbookViewId="0">
      <selection activeCell="A28" sqref="A28"/>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2.140625" style="348" customWidth="1"/>
    <col min="11" max="11" width="12.140625" customWidth="1"/>
    <col min="12" max="13" width="15.140625" customWidth="1"/>
  </cols>
  <sheetData>
    <row r="4" spans="1:13" ht="15.75" thickBot="1" x14ac:dyDescent="0.3"/>
    <row r="5" spans="1:13" ht="30" customHeight="1" thickTop="1" thickBot="1" x14ac:dyDescent="0.3">
      <c r="A5" s="639" t="s">
        <v>0</v>
      </c>
      <c r="B5" s="639" t="s">
        <v>1</v>
      </c>
      <c r="C5" s="639" t="s">
        <v>2569</v>
      </c>
      <c r="D5" s="636" t="s">
        <v>1961</v>
      </c>
      <c r="E5" s="637"/>
      <c r="F5" s="637"/>
      <c r="G5" s="638"/>
      <c r="H5" s="636" t="s">
        <v>3</v>
      </c>
      <c r="I5" s="637"/>
      <c r="J5" s="636" t="s">
        <v>1962</v>
      </c>
      <c r="K5" s="637"/>
      <c r="L5" s="637"/>
      <c r="M5" s="638"/>
    </row>
    <row r="6" spans="1:13" ht="36" customHeight="1" thickTop="1" thickBot="1" x14ac:dyDescent="0.3">
      <c r="A6" s="640"/>
      <c r="B6" s="640"/>
      <c r="C6" s="640"/>
      <c r="D6" s="209" t="s">
        <v>4</v>
      </c>
      <c r="E6" s="209" t="s">
        <v>5</v>
      </c>
      <c r="F6" s="209" t="s">
        <v>6</v>
      </c>
      <c r="G6" s="209" t="s">
        <v>7</v>
      </c>
      <c r="H6" s="209" t="s">
        <v>2</v>
      </c>
      <c r="I6" s="209" t="s">
        <v>3</v>
      </c>
      <c r="J6" s="209" t="s">
        <v>8</v>
      </c>
      <c r="K6" s="317" t="s">
        <v>9</v>
      </c>
      <c r="L6" s="317" t="s">
        <v>1963</v>
      </c>
      <c r="M6" s="317" t="s">
        <v>1964</v>
      </c>
    </row>
    <row r="7" spans="1:13" ht="42.75" customHeight="1" thickTop="1" thickBot="1" x14ac:dyDescent="0.3">
      <c r="A7" s="210" t="s">
        <v>1492</v>
      </c>
      <c r="B7" s="211" t="s">
        <v>1491</v>
      </c>
      <c r="C7" s="649" t="s">
        <v>440</v>
      </c>
      <c r="D7" s="211">
        <v>3</v>
      </c>
      <c r="E7" s="211">
        <v>30</v>
      </c>
      <c r="F7" s="211">
        <v>3</v>
      </c>
      <c r="G7" s="211">
        <v>520</v>
      </c>
      <c r="H7" s="212">
        <f>573066024+5224500050</f>
        <v>5797566074</v>
      </c>
      <c r="I7" s="213">
        <f>573066024+201176239</f>
        <v>774242263</v>
      </c>
      <c r="J7" s="216" t="s">
        <v>2019</v>
      </c>
      <c r="K7" s="263" t="s">
        <v>55</v>
      </c>
      <c r="L7" s="306">
        <v>28</v>
      </c>
      <c r="M7" s="306">
        <f>6+3</f>
        <v>9</v>
      </c>
    </row>
    <row r="8" spans="1:13" ht="42.75" customHeight="1" thickTop="1" thickBot="1" x14ac:dyDescent="0.3">
      <c r="A8" s="210" t="s">
        <v>1492</v>
      </c>
      <c r="B8" s="211" t="s">
        <v>1491</v>
      </c>
      <c r="C8" s="650"/>
      <c r="D8" s="211">
        <v>3</v>
      </c>
      <c r="E8" s="211">
        <v>30</v>
      </c>
      <c r="F8" s="211">
        <v>3</v>
      </c>
      <c r="G8" s="211">
        <v>520</v>
      </c>
      <c r="H8" s="212">
        <v>2860425859</v>
      </c>
      <c r="I8" s="213">
        <v>782227979</v>
      </c>
      <c r="J8" s="216" t="s">
        <v>1493</v>
      </c>
      <c r="K8" s="263" t="s">
        <v>11</v>
      </c>
      <c r="L8" s="306">
        <v>4540</v>
      </c>
      <c r="M8" s="306">
        <v>1240</v>
      </c>
    </row>
    <row r="9" spans="1:13" ht="47.25" customHeight="1" thickTop="1" thickBot="1" x14ac:dyDescent="0.3">
      <c r="A9" s="210" t="s">
        <v>1492</v>
      </c>
      <c r="B9" s="211" t="s">
        <v>1491</v>
      </c>
      <c r="C9" s="404" t="s">
        <v>105</v>
      </c>
      <c r="D9" s="211">
        <v>3</v>
      </c>
      <c r="E9" s="211">
        <v>30</v>
      </c>
      <c r="F9" s="211">
        <v>3</v>
      </c>
      <c r="G9" s="211">
        <v>540</v>
      </c>
      <c r="H9" s="212">
        <v>480000000</v>
      </c>
      <c r="I9" s="212">
        <v>0</v>
      </c>
      <c r="J9" s="216" t="s">
        <v>1494</v>
      </c>
      <c r="K9" s="351" t="s">
        <v>578</v>
      </c>
      <c r="L9" s="211">
        <v>272</v>
      </c>
      <c r="M9" s="211">
        <v>0</v>
      </c>
    </row>
    <row r="10" spans="1:13" ht="40.5" customHeight="1" thickTop="1" thickBot="1" x14ac:dyDescent="0.3">
      <c r="A10" s="210" t="s">
        <v>1492</v>
      </c>
      <c r="B10" s="211" t="s">
        <v>1491</v>
      </c>
      <c r="C10" s="649" t="s">
        <v>53</v>
      </c>
      <c r="D10" s="211">
        <v>3</v>
      </c>
      <c r="E10" s="211">
        <v>30</v>
      </c>
      <c r="F10" s="211">
        <v>3</v>
      </c>
      <c r="G10" s="211">
        <v>590</v>
      </c>
      <c r="H10" s="212">
        <f>650000000+90000000</f>
        <v>740000000</v>
      </c>
      <c r="I10" s="212">
        <v>562674048</v>
      </c>
      <c r="J10" s="216" t="s">
        <v>1495</v>
      </c>
      <c r="K10" s="211" t="s">
        <v>55</v>
      </c>
      <c r="L10" s="211">
        <v>5</v>
      </c>
      <c r="M10" s="211">
        <v>0</v>
      </c>
    </row>
    <row r="11" spans="1:13" ht="40.5" customHeight="1" thickTop="1" thickBot="1" x14ac:dyDescent="0.3">
      <c r="A11" s="210" t="s">
        <v>1492</v>
      </c>
      <c r="B11" s="211" t="s">
        <v>1491</v>
      </c>
      <c r="C11" s="650"/>
      <c r="D11" s="211">
        <v>2</v>
      </c>
      <c r="E11" s="211">
        <v>30</v>
      </c>
      <c r="F11" s="211">
        <v>3</v>
      </c>
      <c r="G11" s="211">
        <v>980</v>
      </c>
      <c r="H11" s="212">
        <v>133498575</v>
      </c>
      <c r="I11" s="212">
        <v>0</v>
      </c>
      <c r="J11" s="216" t="s">
        <v>1496</v>
      </c>
      <c r="K11" s="211" t="s">
        <v>16</v>
      </c>
      <c r="L11" s="211">
        <v>1</v>
      </c>
      <c r="M11" s="211">
        <v>0</v>
      </c>
    </row>
    <row r="12" spans="1:13" ht="40.5" customHeight="1" thickTop="1" thickBot="1" x14ac:dyDescent="0.3">
      <c r="A12" s="210" t="s">
        <v>1492</v>
      </c>
      <c r="B12" s="211" t="s">
        <v>1491</v>
      </c>
      <c r="C12" s="211" t="s">
        <v>18</v>
      </c>
      <c r="D12" s="211">
        <v>3</v>
      </c>
      <c r="E12" s="211">
        <v>30</v>
      </c>
      <c r="F12" s="211">
        <v>3</v>
      </c>
      <c r="G12" s="211">
        <v>848</v>
      </c>
      <c r="H12" s="212">
        <v>4290638788</v>
      </c>
      <c r="I12" s="212">
        <v>1808471750</v>
      </c>
      <c r="J12" s="216" t="s">
        <v>2005</v>
      </c>
      <c r="K12" s="211" t="s">
        <v>20</v>
      </c>
      <c r="L12" s="211">
        <v>1879</v>
      </c>
      <c r="M12" s="211">
        <v>1879</v>
      </c>
    </row>
    <row r="13" spans="1:13" ht="16.5" thickTop="1" thickBot="1" x14ac:dyDescent="0.3">
      <c r="H13" s="327"/>
      <c r="I13" s="327"/>
    </row>
    <row r="14" spans="1:13" ht="30" customHeight="1" thickTop="1" thickBot="1" x14ac:dyDescent="0.3">
      <c r="A14" s="639" t="s">
        <v>0</v>
      </c>
      <c r="B14" s="639" t="s">
        <v>1</v>
      </c>
      <c r="C14" s="639" t="s">
        <v>2569</v>
      </c>
      <c r="D14" s="636" t="s">
        <v>1961</v>
      </c>
      <c r="E14" s="637"/>
      <c r="F14" s="637"/>
      <c r="G14" s="638"/>
      <c r="H14" s="636" t="s">
        <v>3</v>
      </c>
      <c r="I14" s="637"/>
      <c r="J14" s="636" t="s">
        <v>1962</v>
      </c>
      <c r="K14" s="637"/>
      <c r="L14" s="637"/>
      <c r="M14" s="638"/>
    </row>
    <row r="15" spans="1:13" ht="34.5" customHeight="1" thickTop="1" thickBot="1" x14ac:dyDescent="0.3">
      <c r="A15" s="640"/>
      <c r="B15" s="640"/>
      <c r="C15" s="640"/>
      <c r="D15" s="209" t="s">
        <v>4</v>
      </c>
      <c r="E15" s="209" t="s">
        <v>5</v>
      </c>
      <c r="F15" s="209" t="s">
        <v>6</v>
      </c>
      <c r="G15" s="209" t="s">
        <v>7</v>
      </c>
      <c r="H15" s="209" t="s">
        <v>2</v>
      </c>
      <c r="I15" s="209" t="s">
        <v>3</v>
      </c>
      <c r="J15" s="209" t="s">
        <v>8</v>
      </c>
      <c r="K15" s="317" t="s">
        <v>9</v>
      </c>
      <c r="L15" s="317" t="s">
        <v>1963</v>
      </c>
      <c r="M15" s="317" t="s">
        <v>1964</v>
      </c>
    </row>
    <row r="16" spans="1:13" ht="38.25" customHeight="1" thickTop="1" thickBot="1" x14ac:dyDescent="0.3">
      <c r="A16" s="210" t="s">
        <v>1497</v>
      </c>
      <c r="B16" s="211" t="s">
        <v>1491</v>
      </c>
      <c r="C16" s="211" t="s">
        <v>18</v>
      </c>
      <c r="D16" s="211">
        <v>2</v>
      </c>
      <c r="E16" s="211">
        <v>30</v>
      </c>
      <c r="F16" s="211">
        <v>3</v>
      </c>
      <c r="G16" s="211">
        <v>848</v>
      </c>
      <c r="H16" s="212">
        <v>452253451</v>
      </c>
      <c r="I16" s="212">
        <v>247252200</v>
      </c>
      <c r="J16" s="216" t="s">
        <v>1499</v>
      </c>
      <c r="K16" s="332" t="s">
        <v>20</v>
      </c>
      <c r="L16" s="332">
        <v>850</v>
      </c>
      <c r="M16" s="332">
        <v>468</v>
      </c>
    </row>
    <row r="17" spans="1:13" ht="32.25" customHeight="1" thickTop="1" thickBot="1" x14ac:dyDescent="0.3">
      <c r="A17" s="323" t="s">
        <v>1497</v>
      </c>
      <c r="B17" s="307" t="s">
        <v>1491</v>
      </c>
      <c r="C17" s="654" t="s">
        <v>53</v>
      </c>
      <c r="D17" s="323">
        <v>2</v>
      </c>
      <c r="E17" s="323">
        <v>30</v>
      </c>
      <c r="F17" s="328">
        <v>3</v>
      </c>
      <c r="G17" s="328">
        <v>521</v>
      </c>
      <c r="H17" s="294">
        <v>150000000</v>
      </c>
      <c r="I17" s="294">
        <v>0</v>
      </c>
      <c r="J17" s="325" t="s">
        <v>1500</v>
      </c>
      <c r="K17" s="330" t="s">
        <v>25</v>
      </c>
      <c r="L17" s="330">
        <v>6</v>
      </c>
      <c r="M17" s="330">
        <v>0</v>
      </c>
    </row>
    <row r="18" spans="1:13" ht="32.25" customHeight="1" thickTop="1" thickBot="1" x14ac:dyDescent="0.3">
      <c r="A18" s="323" t="s">
        <v>1497</v>
      </c>
      <c r="B18" s="307" t="s">
        <v>1491</v>
      </c>
      <c r="C18" s="654"/>
      <c r="D18" s="323">
        <v>2</v>
      </c>
      <c r="E18" s="323">
        <v>30</v>
      </c>
      <c r="F18" s="328">
        <v>3</v>
      </c>
      <c r="G18" s="328">
        <v>521</v>
      </c>
      <c r="H18" s="294">
        <v>300000000</v>
      </c>
      <c r="I18" s="294">
        <v>196582225</v>
      </c>
      <c r="J18" s="325" t="s">
        <v>1501</v>
      </c>
      <c r="K18" s="330" t="s">
        <v>13</v>
      </c>
      <c r="L18" s="330">
        <v>5</v>
      </c>
      <c r="M18" s="330">
        <v>3</v>
      </c>
    </row>
    <row r="19" spans="1:13" ht="36.75" customHeight="1" thickTop="1" thickBot="1" x14ac:dyDescent="0.3">
      <c r="A19" s="323" t="s">
        <v>1497</v>
      </c>
      <c r="B19" s="307" t="s">
        <v>1491</v>
      </c>
      <c r="C19" s="654"/>
      <c r="D19" s="323">
        <v>2</v>
      </c>
      <c r="E19" s="323">
        <v>30</v>
      </c>
      <c r="F19" s="328">
        <v>3</v>
      </c>
      <c r="G19" s="328">
        <v>521</v>
      </c>
      <c r="H19" s="294">
        <v>150000000</v>
      </c>
      <c r="I19" s="294">
        <v>150000000</v>
      </c>
      <c r="J19" s="325" t="s">
        <v>1502</v>
      </c>
      <c r="K19" s="330" t="s">
        <v>13</v>
      </c>
      <c r="L19" s="330">
        <v>6</v>
      </c>
      <c r="M19" s="330">
        <v>6</v>
      </c>
    </row>
    <row r="20" spans="1:13" ht="36.75" customHeight="1" thickTop="1" thickBot="1" x14ac:dyDescent="0.3">
      <c r="A20" s="323" t="s">
        <v>1497</v>
      </c>
      <c r="B20" s="307" t="s">
        <v>1491</v>
      </c>
      <c r="C20" s="654"/>
      <c r="D20" s="323">
        <v>2</v>
      </c>
      <c r="E20" s="323">
        <v>30</v>
      </c>
      <c r="F20" s="328">
        <v>3</v>
      </c>
      <c r="G20" s="328">
        <v>521</v>
      </c>
      <c r="H20" s="294">
        <v>801779711</v>
      </c>
      <c r="I20" s="294">
        <v>129514197</v>
      </c>
      <c r="J20" s="325" t="s">
        <v>1503</v>
      </c>
      <c r="K20" s="330" t="s">
        <v>55</v>
      </c>
      <c r="L20" s="330">
        <v>7</v>
      </c>
      <c r="M20" s="330">
        <v>1</v>
      </c>
    </row>
    <row r="21" spans="1:13" ht="37.5" customHeight="1" thickTop="1" thickBot="1" x14ac:dyDescent="0.3">
      <c r="A21" s="323" t="s">
        <v>1497</v>
      </c>
      <c r="B21" s="307" t="s">
        <v>1491</v>
      </c>
      <c r="C21" s="323" t="s">
        <v>105</v>
      </c>
      <c r="D21" s="323">
        <v>2</v>
      </c>
      <c r="E21" s="323">
        <v>30</v>
      </c>
      <c r="F21" s="328">
        <v>3</v>
      </c>
      <c r="G21" s="328">
        <v>530</v>
      </c>
      <c r="H21" s="294">
        <v>80000000</v>
      </c>
      <c r="I21" s="294">
        <v>16390000</v>
      </c>
      <c r="J21" s="325" t="s">
        <v>1504</v>
      </c>
      <c r="K21" s="330" t="s">
        <v>44</v>
      </c>
      <c r="L21" s="330">
        <v>725</v>
      </c>
      <c r="M21" s="330">
        <v>150</v>
      </c>
    </row>
    <row r="22" spans="1:13" ht="34.5" customHeight="1" thickTop="1" thickBot="1" x14ac:dyDescent="0.3">
      <c r="A22" s="323" t="s">
        <v>1497</v>
      </c>
      <c r="B22" s="307" t="s">
        <v>1491</v>
      </c>
      <c r="C22" s="323" t="s">
        <v>1498</v>
      </c>
      <c r="D22" s="323">
        <v>2</v>
      </c>
      <c r="E22" s="323">
        <v>30</v>
      </c>
      <c r="F22" s="328">
        <v>3</v>
      </c>
      <c r="G22" s="328">
        <v>580</v>
      </c>
      <c r="H22" s="294">
        <v>50000000</v>
      </c>
      <c r="I22" s="294">
        <v>29400000</v>
      </c>
      <c r="J22" s="325" t="s">
        <v>1505</v>
      </c>
      <c r="K22" s="330" t="s">
        <v>72</v>
      </c>
      <c r="L22" s="330">
        <v>30</v>
      </c>
      <c r="M22" s="330">
        <v>18</v>
      </c>
    </row>
    <row r="23" spans="1:13" ht="39" customHeight="1" thickTop="1" thickBot="1" x14ac:dyDescent="0.3">
      <c r="A23" s="323" t="s">
        <v>1497</v>
      </c>
      <c r="B23" s="307" t="s">
        <v>1491</v>
      </c>
      <c r="C23" s="651" t="s">
        <v>53</v>
      </c>
      <c r="D23" s="323">
        <v>2</v>
      </c>
      <c r="E23" s="323">
        <v>30</v>
      </c>
      <c r="F23" s="328">
        <v>3</v>
      </c>
      <c r="G23" s="328">
        <v>590</v>
      </c>
      <c r="H23" s="294">
        <v>150000000</v>
      </c>
      <c r="I23" s="294">
        <v>0</v>
      </c>
      <c r="J23" s="325" t="s">
        <v>1506</v>
      </c>
      <c r="K23" s="330" t="s">
        <v>55</v>
      </c>
      <c r="L23" s="330">
        <v>5</v>
      </c>
      <c r="M23" s="330">
        <v>0</v>
      </c>
    </row>
    <row r="24" spans="1:13" ht="34.5" customHeight="1" thickTop="1" thickBot="1" x14ac:dyDescent="0.3">
      <c r="A24" s="323" t="s">
        <v>1497</v>
      </c>
      <c r="B24" s="307" t="s">
        <v>1491</v>
      </c>
      <c r="C24" s="653"/>
      <c r="D24" s="323">
        <v>2</v>
      </c>
      <c r="E24" s="323">
        <v>30</v>
      </c>
      <c r="F24" s="328">
        <v>3</v>
      </c>
      <c r="G24" s="328">
        <v>985</v>
      </c>
      <c r="H24" s="294">
        <v>80000000</v>
      </c>
      <c r="I24" s="294">
        <v>80000000</v>
      </c>
      <c r="J24" s="325" t="s">
        <v>693</v>
      </c>
      <c r="K24" s="330" t="s">
        <v>16</v>
      </c>
      <c r="L24" s="330">
        <v>1</v>
      </c>
      <c r="M24" s="330">
        <v>1</v>
      </c>
    </row>
    <row r="25" spans="1:13" ht="16.5" thickTop="1" thickBot="1" x14ac:dyDescent="0.3">
      <c r="H25" s="327"/>
      <c r="I25" s="327"/>
    </row>
    <row r="26" spans="1:13" ht="30" customHeight="1" thickTop="1" thickBot="1" x14ac:dyDescent="0.3">
      <c r="A26" s="639" t="s">
        <v>0</v>
      </c>
      <c r="B26" s="639" t="s">
        <v>1</v>
      </c>
      <c r="C26" s="639" t="s">
        <v>2569</v>
      </c>
      <c r="D26" s="636" t="s">
        <v>1961</v>
      </c>
      <c r="E26" s="637"/>
      <c r="F26" s="637"/>
      <c r="G26" s="638"/>
      <c r="H26" s="636" t="s">
        <v>3</v>
      </c>
      <c r="I26" s="637"/>
      <c r="J26" s="636" t="s">
        <v>1962</v>
      </c>
      <c r="K26" s="637"/>
      <c r="L26" s="637"/>
      <c r="M26" s="638"/>
    </row>
    <row r="27" spans="1:13" ht="34.5" customHeight="1" thickTop="1" thickBot="1" x14ac:dyDescent="0.3">
      <c r="A27" s="640"/>
      <c r="B27" s="640"/>
      <c r="C27" s="640"/>
      <c r="D27" s="209" t="s">
        <v>4</v>
      </c>
      <c r="E27" s="209" t="s">
        <v>5</v>
      </c>
      <c r="F27" s="209" t="s">
        <v>6</v>
      </c>
      <c r="G27" s="209" t="s">
        <v>7</v>
      </c>
      <c r="H27" s="209" t="s">
        <v>2</v>
      </c>
      <c r="I27" s="209" t="s">
        <v>3</v>
      </c>
      <c r="J27" s="209" t="s">
        <v>8</v>
      </c>
      <c r="K27" s="317" t="s">
        <v>9</v>
      </c>
      <c r="L27" s="317" t="s">
        <v>1963</v>
      </c>
      <c r="M27" s="317" t="s">
        <v>1964</v>
      </c>
    </row>
    <row r="28" spans="1:13" ht="38.25" customHeight="1" thickTop="1" thickBot="1" x14ac:dyDescent="0.3">
      <c r="A28" s="364" t="s">
        <v>2536</v>
      </c>
      <c r="B28" s="307" t="s">
        <v>1491</v>
      </c>
      <c r="C28" s="319" t="s">
        <v>18</v>
      </c>
      <c r="D28" s="319">
        <v>3</v>
      </c>
      <c r="E28" s="319">
        <v>30</v>
      </c>
      <c r="F28" s="328">
        <v>3</v>
      </c>
      <c r="G28" s="328">
        <v>848</v>
      </c>
      <c r="H28" s="294">
        <v>1744434219</v>
      </c>
      <c r="I28" s="294">
        <v>662347800</v>
      </c>
      <c r="J28" s="325" t="s">
        <v>1507</v>
      </c>
      <c r="K28" s="318" t="s">
        <v>20</v>
      </c>
      <c r="L28" s="318">
        <v>709</v>
      </c>
      <c r="M28" s="318">
        <v>709</v>
      </c>
    </row>
    <row r="29" spans="1:13" ht="34.5" customHeight="1" thickTop="1" thickBot="1" x14ac:dyDescent="0.3">
      <c r="A29" s="625" t="s">
        <v>2536</v>
      </c>
      <c r="B29" s="307" t="s">
        <v>1491</v>
      </c>
      <c r="C29" s="649" t="s">
        <v>53</v>
      </c>
      <c r="D29" s="319">
        <v>3</v>
      </c>
      <c r="E29" s="319">
        <v>30</v>
      </c>
      <c r="F29" s="328">
        <v>3</v>
      </c>
      <c r="G29" s="328">
        <v>520</v>
      </c>
      <c r="H29" s="294">
        <v>286040549</v>
      </c>
      <c r="I29" s="294">
        <v>88534057</v>
      </c>
      <c r="J29" s="325" t="s">
        <v>1508</v>
      </c>
      <c r="K29" s="318" t="s">
        <v>25</v>
      </c>
      <c r="L29" s="318">
        <v>9</v>
      </c>
      <c r="M29" s="318">
        <v>3</v>
      </c>
    </row>
    <row r="30" spans="1:13" ht="34.5" customHeight="1" thickTop="1" thickBot="1" x14ac:dyDescent="0.3">
      <c r="A30" s="625" t="s">
        <v>2536</v>
      </c>
      <c r="B30" s="307" t="s">
        <v>1491</v>
      </c>
      <c r="C30" s="665"/>
      <c r="D30" s="319">
        <v>3</v>
      </c>
      <c r="E30" s="319">
        <v>30</v>
      </c>
      <c r="F30" s="328">
        <v>3</v>
      </c>
      <c r="G30" s="328">
        <v>520</v>
      </c>
      <c r="H30" s="294">
        <v>100000000</v>
      </c>
      <c r="I30" s="294">
        <v>0</v>
      </c>
      <c r="J30" s="325" t="s">
        <v>1509</v>
      </c>
      <c r="K30" s="318" t="s">
        <v>25</v>
      </c>
      <c r="L30" s="318">
        <v>4</v>
      </c>
      <c r="M30" s="318">
        <v>0</v>
      </c>
    </row>
    <row r="31" spans="1:13" ht="34.5" customHeight="1" thickTop="1" thickBot="1" x14ac:dyDescent="0.3">
      <c r="A31" s="625" t="s">
        <v>2536</v>
      </c>
      <c r="B31" s="307" t="s">
        <v>1491</v>
      </c>
      <c r="C31" s="665"/>
      <c r="D31" s="319">
        <v>3</v>
      </c>
      <c r="E31" s="319">
        <v>30</v>
      </c>
      <c r="F31" s="328">
        <v>3</v>
      </c>
      <c r="G31" s="328">
        <v>520</v>
      </c>
      <c r="H31" s="294">
        <v>1531124131</v>
      </c>
      <c r="I31" s="294">
        <f>214677816+253228485</f>
        <v>467906301</v>
      </c>
      <c r="J31" s="325" t="s">
        <v>2033</v>
      </c>
      <c r="K31" s="318" t="s">
        <v>55</v>
      </c>
      <c r="L31" s="318">
        <v>15</v>
      </c>
      <c r="M31" s="318">
        <v>5</v>
      </c>
    </row>
    <row r="32" spans="1:13" ht="34.5" customHeight="1" thickTop="1" thickBot="1" x14ac:dyDescent="0.3">
      <c r="A32" s="625" t="s">
        <v>2536</v>
      </c>
      <c r="B32" s="307" t="s">
        <v>1491</v>
      </c>
      <c r="C32" s="665"/>
      <c r="D32" s="319">
        <v>3</v>
      </c>
      <c r="E32" s="319">
        <v>30</v>
      </c>
      <c r="F32" s="328">
        <v>3</v>
      </c>
      <c r="G32" s="328">
        <v>520</v>
      </c>
      <c r="H32" s="294">
        <v>440225686</v>
      </c>
      <c r="I32" s="294">
        <f>172712622+101851660</f>
        <v>274564282</v>
      </c>
      <c r="J32" s="325" t="s">
        <v>1510</v>
      </c>
      <c r="K32" s="318" t="s">
        <v>55</v>
      </c>
      <c r="L32" s="318">
        <v>24</v>
      </c>
      <c r="M32" s="318">
        <v>15</v>
      </c>
    </row>
    <row r="33" spans="1:13" ht="34.5" customHeight="1" thickTop="1" thickBot="1" x14ac:dyDescent="0.3">
      <c r="A33" s="625" t="s">
        <v>2536</v>
      </c>
      <c r="B33" s="307" t="s">
        <v>1491</v>
      </c>
      <c r="C33" s="650"/>
      <c r="D33" s="319">
        <v>3</v>
      </c>
      <c r="E33" s="319">
        <v>30</v>
      </c>
      <c r="F33" s="328">
        <v>3</v>
      </c>
      <c r="G33" s="328">
        <v>520</v>
      </c>
      <c r="H33" s="294">
        <v>300000000</v>
      </c>
      <c r="I33" s="294">
        <v>0</v>
      </c>
      <c r="J33" s="325" t="s">
        <v>2034</v>
      </c>
      <c r="K33" s="318" t="s">
        <v>1462</v>
      </c>
      <c r="L33" s="318">
        <v>2</v>
      </c>
      <c r="M33" s="318">
        <v>0</v>
      </c>
    </row>
    <row r="34" spans="1:13" ht="34.5" customHeight="1" thickTop="1" thickBot="1" x14ac:dyDescent="0.3">
      <c r="A34" s="625" t="s">
        <v>2536</v>
      </c>
      <c r="B34" s="307" t="s">
        <v>1491</v>
      </c>
      <c r="C34" s="651" t="s">
        <v>440</v>
      </c>
      <c r="D34" s="319">
        <v>3</v>
      </c>
      <c r="E34" s="319">
        <v>30</v>
      </c>
      <c r="F34" s="328">
        <v>3</v>
      </c>
      <c r="G34" s="328">
        <v>520</v>
      </c>
      <c r="H34" s="294">
        <v>1101954517</v>
      </c>
      <c r="I34" s="294">
        <f>294610467+183122202</f>
        <v>477732669</v>
      </c>
      <c r="J34" s="325" t="s">
        <v>1511</v>
      </c>
      <c r="K34" s="318" t="s">
        <v>11</v>
      </c>
      <c r="L34" s="318">
        <v>25000</v>
      </c>
      <c r="M34" s="318">
        <v>10750</v>
      </c>
    </row>
    <row r="35" spans="1:13" ht="34.5" customHeight="1" thickTop="1" thickBot="1" x14ac:dyDescent="0.3">
      <c r="A35" s="625" t="s">
        <v>2536</v>
      </c>
      <c r="B35" s="307" t="s">
        <v>1491</v>
      </c>
      <c r="C35" s="653"/>
      <c r="D35" s="319">
        <v>3</v>
      </c>
      <c r="E35" s="319">
        <v>30</v>
      </c>
      <c r="F35" s="328">
        <v>3</v>
      </c>
      <c r="G35" s="328">
        <v>520</v>
      </c>
      <c r="H35" s="294">
        <v>12306549</v>
      </c>
      <c r="I35" s="294">
        <v>12306549</v>
      </c>
      <c r="J35" s="325" t="s">
        <v>1512</v>
      </c>
      <c r="K35" s="318" t="s">
        <v>2086</v>
      </c>
      <c r="L35" s="318">
        <v>1</v>
      </c>
      <c r="M35" s="318">
        <v>1</v>
      </c>
    </row>
    <row r="36" spans="1:13" ht="38.25" customHeight="1" thickTop="1" thickBot="1" x14ac:dyDescent="0.3">
      <c r="A36" s="625" t="s">
        <v>2536</v>
      </c>
      <c r="B36" s="307" t="s">
        <v>1491</v>
      </c>
      <c r="C36" s="331" t="s">
        <v>105</v>
      </c>
      <c r="D36" s="319">
        <v>3</v>
      </c>
      <c r="E36" s="319">
        <v>30</v>
      </c>
      <c r="F36" s="328">
        <v>3</v>
      </c>
      <c r="G36" s="328">
        <v>540</v>
      </c>
      <c r="H36" s="294">
        <v>250000000</v>
      </c>
      <c r="I36" s="294">
        <v>0</v>
      </c>
      <c r="J36" s="325" t="s">
        <v>1513</v>
      </c>
      <c r="K36" s="318" t="s">
        <v>578</v>
      </c>
      <c r="L36" s="318">
        <v>875</v>
      </c>
      <c r="M36" s="318">
        <v>0</v>
      </c>
    </row>
    <row r="37" spans="1:13" ht="50.25" customHeight="1" thickTop="1" thickBot="1" x14ac:dyDescent="0.3">
      <c r="A37" s="625" t="s">
        <v>2536</v>
      </c>
      <c r="B37" s="307" t="s">
        <v>1491</v>
      </c>
      <c r="C37" s="323" t="s">
        <v>53</v>
      </c>
      <c r="D37" s="319">
        <v>3</v>
      </c>
      <c r="E37" s="319">
        <v>30</v>
      </c>
      <c r="F37" s="328">
        <v>3</v>
      </c>
      <c r="G37" s="328">
        <v>980</v>
      </c>
      <c r="H37" s="294">
        <v>48695079</v>
      </c>
      <c r="I37" s="294">
        <v>48518079</v>
      </c>
      <c r="J37" s="325" t="s">
        <v>1514</v>
      </c>
      <c r="K37" s="318" t="s">
        <v>16</v>
      </c>
      <c r="L37" s="318">
        <v>3</v>
      </c>
      <c r="M37" s="318">
        <v>3</v>
      </c>
    </row>
    <row r="38" spans="1:13" ht="16.5" thickTop="1" thickBot="1" x14ac:dyDescent="0.3">
      <c r="H38" s="327"/>
      <c r="I38" s="327"/>
    </row>
    <row r="39" spans="1:13" ht="30" customHeight="1" thickTop="1" thickBot="1" x14ac:dyDescent="0.3">
      <c r="A39" s="639" t="s">
        <v>0</v>
      </c>
      <c r="B39" s="639" t="s">
        <v>1</v>
      </c>
      <c r="C39" s="639" t="s">
        <v>2569</v>
      </c>
      <c r="D39" s="636" t="s">
        <v>1961</v>
      </c>
      <c r="E39" s="637"/>
      <c r="F39" s="637"/>
      <c r="G39" s="638"/>
      <c r="H39" s="636" t="s">
        <v>3</v>
      </c>
      <c r="I39" s="637"/>
      <c r="J39" s="636" t="s">
        <v>1962</v>
      </c>
      <c r="K39" s="637"/>
      <c r="L39" s="637"/>
      <c r="M39" s="638"/>
    </row>
    <row r="40" spans="1:13" ht="34.5" customHeight="1" thickTop="1" thickBot="1" x14ac:dyDescent="0.3">
      <c r="A40" s="640"/>
      <c r="B40" s="640"/>
      <c r="C40" s="640"/>
      <c r="D40" s="209" t="s">
        <v>4</v>
      </c>
      <c r="E40" s="209" t="s">
        <v>5</v>
      </c>
      <c r="F40" s="209" t="s">
        <v>6</v>
      </c>
      <c r="G40" s="209" t="s">
        <v>7</v>
      </c>
      <c r="H40" s="209" t="s">
        <v>2</v>
      </c>
      <c r="I40" s="209" t="s">
        <v>3</v>
      </c>
      <c r="J40" s="209" t="s">
        <v>8</v>
      </c>
      <c r="K40" s="317" t="s">
        <v>9</v>
      </c>
      <c r="L40" s="317" t="s">
        <v>1963</v>
      </c>
      <c r="M40" s="317" t="s">
        <v>1964</v>
      </c>
    </row>
    <row r="41" spans="1:13" ht="52.5" customHeight="1" thickTop="1" thickBot="1" x14ac:dyDescent="0.3">
      <c r="A41" s="369" t="s">
        <v>2087</v>
      </c>
      <c r="B41" s="307" t="s">
        <v>1491</v>
      </c>
      <c r="C41" s="651" t="s">
        <v>364</v>
      </c>
      <c r="D41" s="651">
        <v>2</v>
      </c>
      <c r="E41" s="651">
        <v>30</v>
      </c>
      <c r="F41" s="689">
        <v>3</v>
      </c>
      <c r="G41" s="689">
        <v>848</v>
      </c>
      <c r="H41" s="673">
        <v>451945918</v>
      </c>
      <c r="I41" s="673">
        <v>451909600</v>
      </c>
      <c r="J41" s="325" t="s">
        <v>2088</v>
      </c>
      <c r="K41" s="370" t="s">
        <v>75</v>
      </c>
      <c r="L41" s="370">
        <v>52091</v>
      </c>
      <c r="M41" s="370">
        <v>52091</v>
      </c>
    </row>
    <row r="42" spans="1:13" ht="52.5" customHeight="1" thickTop="1" thickBot="1" x14ac:dyDescent="0.3">
      <c r="A42" s="369" t="s">
        <v>2087</v>
      </c>
      <c r="B42" s="307" t="s">
        <v>1491</v>
      </c>
      <c r="C42" s="653"/>
      <c r="D42" s="653"/>
      <c r="E42" s="653"/>
      <c r="F42" s="690"/>
      <c r="G42" s="690"/>
      <c r="H42" s="674"/>
      <c r="I42" s="674"/>
      <c r="J42" s="325" t="s">
        <v>2089</v>
      </c>
      <c r="K42" s="370" t="s">
        <v>20</v>
      </c>
      <c r="L42" s="370">
        <v>1230</v>
      </c>
      <c r="M42" s="370">
        <v>1230</v>
      </c>
    </row>
    <row r="43" spans="1:13" ht="47.25" customHeight="1" thickTop="1" thickBot="1" x14ac:dyDescent="0.3">
      <c r="A43" s="369" t="s">
        <v>2087</v>
      </c>
      <c r="B43" s="307" t="s">
        <v>1491</v>
      </c>
      <c r="C43" s="651" t="s">
        <v>300</v>
      </c>
      <c r="D43" s="369">
        <v>3</v>
      </c>
      <c r="E43" s="369">
        <v>30</v>
      </c>
      <c r="F43" s="328">
        <v>3</v>
      </c>
      <c r="G43" s="328">
        <v>520</v>
      </c>
      <c r="H43" s="368">
        <v>645782778</v>
      </c>
      <c r="I43" s="368">
        <v>645782778</v>
      </c>
      <c r="J43" s="325" t="s">
        <v>2090</v>
      </c>
      <c r="K43" s="370" t="s">
        <v>13</v>
      </c>
      <c r="L43" s="370">
        <v>42</v>
      </c>
      <c r="M43" s="370">
        <v>42</v>
      </c>
    </row>
    <row r="44" spans="1:13" ht="45.75" customHeight="1" thickTop="1" thickBot="1" x14ac:dyDescent="0.3">
      <c r="A44" s="369" t="s">
        <v>2087</v>
      </c>
      <c r="B44" s="307" t="s">
        <v>1491</v>
      </c>
      <c r="C44" s="653"/>
      <c r="D44" s="369">
        <v>3</v>
      </c>
      <c r="E44" s="369">
        <v>30</v>
      </c>
      <c r="F44" s="328">
        <v>3</v>
      </c>
      <c r="G44" s="328">
        <v>520</v>
      </c>
      <c r="H44" s="368">
        <v>449507142</v>
      </c>
      <c r="I44" s="368">
        <v>449507142</v>
      </c>
      <c r="J44" s="325" t="s">
        <v>2091</v>
      </c>
      <c r="K44" s="370" t="s">
        <v>13</v>
      </c>
      <c r="L44" s="370">
        <v>35</v>
      </c>
      <c r="M44" s="370">
        <v>35</v>
      </c>
    </row>
    <row r="45" spans="1:13" ht="40.5" customHeight="1" thickTop="1" thickBot="1" x14ac:dyDescent="0.3">
      <c r="A45" s="369" t="s">
        <v>2087</v>
      </c>
      <c r="B45" s="307" t="s">
        <v>1491</v>
      </c>
      <c r="C45" s="651" t="s">
        <v>440</v>
      </c>
      <c r="D45" s="369">
        <v>3</v>
      </c>
      <c r="E45" s="369">
        <v>30</v>
      </c>
      <c r="F45" s="328">
        <v>3</v>
      </c>
      <c r="G45" s="328">
        <v>520</v>
      </c>
      <c r="H45" s="368">
        <v>391817222</v>
      </c>
      <c r="I45" s="368">
        <v>391775516</v>
      </c>
      <c r="J45" s="325" t="s">
        <v>2092</v>
      </c>
      <c r="K45" s="370" t="s">
        <v>51</v>
      </c>
      <c r="L45" s="370">
        <v>4500</v>
      </c>
      <c r="M45" s="370">
        <v>4500</v>
      </c>
    </row>
    <row r="46" spans="1:13" ht="39.75" customHeight="1" thickTop="1" thickBot="1" x14ac:dyDescent="0.3">
      <c r="A46" s="369" t="s">
        <v>2087</v>
      </c>
      <c r="B46" s="307" t="s">
        <v>1491</v>
      </c>
      <c r="C46" s="652"/>
      <c r="D46" s="369">
        <v>3</v>
      </c>
      <c r="E46" s="369">
        <v>30</v>
      </c>
      <c r="F46" s="328">
        <v>3</v>
      </c>
      <c r="G46" s="328">
        <v>520</v>
      </c>
      <c r="H46" s="368">
        <v>21500000</v>
      </c>
      <c r="I46" s="368">
        <v>21500000</v>
      </c>
      <c r="J46" s="325" t="s">
        <v>2093</v>
      </c>
      <c r="K46" s="370" t="s">
        <v>13</v>
      </c>
      <c r="L46" s="370">
        <v>2</v>
      </c>
      <c r="M46" s="370">
        <v>2</v>
      </c>
    </row>
    <row r="47" spans="1:13" ht="39.75" customHeight="1" thickTop="1" thickBot="1" x14ac:dyDescent="0.3">
      <c r="A47" s="369" t="s">
        <v>2087</v>
      </c>
      <c r="B47" s="307" t="s">
        <v>1491</v>
      </c>
      <c r="C47" s="653"/>
      <c r="D47" s="369">
        <v>3</v>
      </c>
      <c r="E47" s="369">
        <v>30</v>
      </c>
      <c r="F47" s="328">
        <v>3</v>
      </c>
      <c r="G47" s="328">
        <v>520</v>
      </c>
      <c r="H47" s="368">
        <v>55000000</v>
      </c>
      <c r="I47" s="368">
        <v>55000000</v>
      </c>
      <c r="J47" s="325" t="s">
        <v>2094</v>
      </c>
      <c r="K47" s="370" t="s">
        <v>51</v>
      </c>
      <c r="L47" s="370">
        <v>5000</v>
      </c>
      <c r="M47" s="370">
        <v>5000</v>
      </c>
    </row>
    <row r="48" spans="1:13" ht="36" customHeight="1" thickTop="1" thickBot="1" x14ac:dyDescent="0.3">
      <c r="A48" s="369" t="s">
        <v>2087</v>
      </c>
      <c r="B48" s="307" t="s">
        <v>1491</v>
      </c>
      <c r="C48" s="651" t="s">
        <v>300</v>
      </c>
      <c r="D48" s="369">
        <v>3</v>
      </c>
      <c r="E48" s="369">
        <v>30</v>
      </c>
      <c r="F48" s="328">
        <v>3</v>
      </c>
      <c r="G48" s="328">
        <v>530</v>
      </c>
      <c r="H48" s="368">
        <v>218000000</v>
      </c>
      <c r="I48" s="368">
        <v>218000000</v>
      </c>
      <c r="J48" s="325" t="s">
        <v>2095</v>
      </c>
      <c r="K48" s="370" t="s">
        <v>2096</v>
      </c>
      <c r="L48" s="370">
        <v>1</v>
      </c>
      <c r="M48" s="370">
        <v>1</v>
      </c>
    </row>
    <row r="49" spans="1:13" ht="42" customHeight="1" thickTop="1" thickBot="1" x14ac:dyDescent="0.3">
      <c r="A49" s="369" t="s">
        <v>2087</v>
      </c>
      <c r="B49" s="307" t="s">
        <v>1491</v>
      </c>
      <c r="C49" s="653"/>
      <c r="D49" s="369">
        <v>3</v>
      </c>
      <c r="E49" s="369">
        <v>30</v>
      </c>
      <c r="F49" s="328">
        <v>3</v>
      </c>
      <c r="G49" s="328">
        <v>590</v>
      </c>
      <c r="H49" s="368">
        <v>0</v>
      </c>
      <c r="I49" s="368">
        <v>0</v>
      </c>
      <c r="J49" s="325" t="s">
        <v>2097</v>
      </c>
      <c r="K49" s="370" t="s">
        <v>55</v>
      </c>
      <c r="L49" s="370">
        <v>1</v>
      </c>
      <c r="M49" s="370">
        <v>0</v>
      </c>
    </row>
    <row r="50" spans="1:13" ht="16.5" thickTop="1" thickBot="1" x14ac:dyDescent="0.3">
      <c r="H50" s="327"/>
      <c r="I50" s="327"/>
    </row>
    <row r="51" spans="1:13" ht="30" customHeight="1" thickTop="1" thickBot="1" x14ac:dyDescent="0.3">
      <c r="A51" s="639" t="s">
        <v>0</v>
      </c>
      <c r="B51" s="639" t="s">
        <v>1</v>
      </c>
      <c r="C51" s="639" t="s">
        <v>2569</v>
      </c>
      <c r="D51" s="636" t="s">
        <v>1961</v>
      </c>
      <c r="E51" s="637"/>
      <c r="F51" s="637"/>
      <c r="G51" s="638"/>
      <c r="H51" s="636" t="s">
        <v>3</v>
      </c>
      <c r="I51" s="637"/>
      <c r="J51" s="636" t="s">
        <v>1962</v>
      </c>
      <c r="K51" s="637"/>
      <c r="L51" s="637"/>
      <c r="M51" s="638"/>
    </row>
    <row r="52" spans="1:13" ht="34.5" customHeight="1" thickTop="1" thickBot="1" x14ac:dyDescent="0.3">
      <c r="A52" s="640"/>
      <c r="B52" s="640"/>
      <c r="C52" s="640"/>
      <c r="D52" s="209" t="s">
        <v>4</v>
      </c>
      <c r="E52" s="209" t="s">
        <v>5</v>
      </c>
      <c r="F52" s="209" t="s">
        <v>6</v>
      </c>
      <c r="G52" s="209" t="s">
        <v>7</v>
      </c>
      <c r="H52" s="209" t="s">
        <v>2</v>
      </c>
      <c r="I52" s="209" t="s">
        <v>3</v>
      </c>
      <c r="J52" s="209" t="s">
        <v>8</v>
      </c>
      <c r="K52" s="317" t="s">
        <v>9</v>
      </c>
      <c r="L52" s="317" t="s">
        <v>1963</v>
      </c>
      <c r="M52" s="317" t="s">
        <v>1964</v>
      </c>
    </row>
    <row r="53" spans="1:13" ht="49.5" customHeight="1" thickTop="1" thickBot="1" x14ac:dyDescent="0.3">
      <c r="A53" s="364" t="s">
        <v>1515</v>
      </c>
      <c r="B53" s="307" t="s">
        <v>1491</v>
      </c>
      <c r="C53" s="364" t="s">
        <v>18</v>
      </c>
      <c r="D53" s="331">
        <v>2</v>
      </c>
      <c r="E53" s="331">
        <v>30</v>
      </c>
      <c r="F53" s="328">
        <v>3</v>
      </c>
      <c r="G53" s="328">
        <v>848</v>
      </c>
      <c r="H53" s="342">
        <v>753509327</v>
      </c>
      <c r="I53" s="342">
        <v>331804284</v>
      </c>
      <c r="J53" s="329" t="s">
        <v>2006</v>
      </c>
      <c r="K53" s="330" t="s">
        <v>20</v>
      </c>
      <c r="L53" s="330">
        <v>501</v>
      </c>
      <c r="M53" s="330">
        <v>501</v>
      </c>
    </row>
    <row r="54" spans="1:13" ht="47.25" customHeight="1" thickTop="1" thickBot="1" x14ac:dyDescent="0.3">
      <c r="A54" s="364" t="s">
        <v>1515</v>
      </c>
      <c r="B54" s="307" t="s">
        <v>1491</v>
      </c>
      <c r="C54" s="364" t="s">
        <v>53</v>
      </c>
      <c r="D54" s="319">
        <v>2</v>
      </c>
      <c r="E54" s="319">
        <v>30</v>
      </c>
      <c r="F54" s="328">
        <v>3</v>
      </c>
      <c r="G54" s="328">
        <v>520</v>
      </c>
      <c r="H54" s="294">
        <v>64000000</v>
      </c>
      <c r="I54" s="294">
        <v>63363517</v>
      </c>
      <c r="J54" s="325" t="s">
        <v>1516</v>
      </c>
      <c r="K54" s="318" t="s">
        <v>55</v>
      </c>
      <c r="L54" s="318">
        <v>1</v>
      </c>
      <c r="M54" s="318">
        <v>1</v>
      </c>
    </row>
    <row r="55" spans="1:13" ht="47.25" customHeight="1" thickTop="1" thickBot="1" x14ac:dyDescent="0.3">
      <c r="A55" s="364" t="s">
        <v>1515</v>
      </c>
      <c r="B55" s="307" t="s">
        <v>1491</v>
      </c>
      <c r="C55" s="364" t="s">
        <v>53</v>
      </c>
      <c r="D55" s="319">
        <v>2</v>
      </c>
      <c r="E55" s="319">
        <v>30</v>
      </c>
      <c r="F55" s="328">
        <v>3</v>
      </c>
      <c r="G55" s="328">
        <v>520</v>
      </c>
      <c r="H55" s="294">
        <f>35000000+60000000+60000000</f>
        <v>155000000</v>
      </c>
      <c r="I55" s="294">
        <f>30195276+57108500+57100000</f>
        <v>144403776</v>
      </c>
      <c r="J55" s="325" t="s">
        <v>1517</v>
      </c>
      <c r="K55" s="318" t="s">
        <v>25</v>
      </c>
      <c r="L55" s="318">
        <v>3</v>
      </c>
      <c r="M55" s="318">
        <v>3</v>
      </c>
    </row>
    <row r="56" spans="1:13" ht="47.25" customHeight="1" thickTop="1" thickBot="1" x14ac:dyDescent="0.3">
      <c r="A56" s="364" t="s">
        <v>1515</v>
      </c>
      <c r="B56" s="307" t="s">
        <v>1491</v>
      </c>
      <c r="C56" s="364" t="s">
        <v>53</v>
      </c>
      <c r="D56" s="319">
        <v>2</v>
      </c>
      <c r="E56" s="319">
        <v>30</v>
      </c>
      <c r="F56" s="328">
        <v>3</v>
      </c>
      <c r="G56" s="328">
        <v>520</v>
      </c>
      <c r="H56" s="294">
        <v>120000000</v>
      </c>
      <c r="I56" s="294">
        <v>91340000</v>
      </c>
      <c r="J56" s="325" t="s">
        <v>1518</v>
      </c>
      <c r="K56" s="318" t="s">
        <v>13</v>
      </c>
      <c r="L56" s="318">
        <v>1</v>
      </c>
      <c r="M56" s="318">
        <v>1</v>
      </c>
    </row>
    <row r="57" spans="1:13" ht="47.25" customHeight="1" thickTop="1" thickBot="1" x14ac:dyDescent="0.3">
      <c r="A57" s="364" t="s">
        <v>1515</v>
      </c>
      <c r="B57" s="307" t="s">
        <v>1491</v>
      </c>
      <c r="C57" s="364" t="s">
        <v>53</v>
      </c>
      <c r="D57" s="319">
        <v>2</v>
      </c>
      <c r="E57" s="319">
        <v>30</v>
      </c>
      <c r="F57" s="328">
        <v>3</v>
      </c>
      <c r="G57" s="328">
        <v>520</v>
      </c>
      <c r="H57" s="294">
        <v>20000000</v>
      </c>
      <c r="I57" s="294">
        <v>11220000</v>
      </c>
      <c r="J57" s="325" t="s">
        <v>1519</v>
      </c>
      <c r="K57" s="318" t="s">
        <v>25</v>
      </c>
      <c r="L57" s="318">
        <v>1</v>
      </c>
      <c r="M57" s="318">
        <v>1</v>
      </c>
    </row>
    <row r="58" spans="1:13" ht="47.25" customHeight="1" thickTop="1" thickBot="1" x14ac:dyDescent="0.3">
      <c r="A58" s="364" t="s">
        <v>1515</v>
      </c>
      <c r="B58" s="307" t="s">
        <v>1491</v>
      </c>
      <c r="C58" s="364" t="s">
        <v>53</v>
      </c>
      <c r="D58" s="319">
        <v>2</v>
      </c>
      <c r="E58" s="319">
        <v>30</v>
      </c>
      <c r="F58" s="328">
        <v>3</v>
      </c>
      <c r="G58" s="328">
        <v>520</v>
      </c>
      <c r="H58" s="294">
        <v>200000000</v>
      </c>
      <c r="I58" s="294">
        <v>63000000</v>
      </c>
      <c r="J58" s="325" t="s">
        <v>1520</v>
      </c>
      <c r="K58" s="318" t="s">
        <v>13</v>
      </c>
      <c r="L58" s="318">
        <v>1</v>
      </c>
      <c r="M58" s="318">
        <v>0</v>
      </c>
    </row>
    <row r="59" spans="1:13" ht="47.25" customHeight="1" thickTop="1" thickBot="1" x14ac:dyDescent="0.3">
      <c r="A59" s="364" t="s">
        <v>1515</v>
      </c>
      <c r="B59" s="307" t="s">
        <v>1491</v>
      </c>
      <c r="C59" s="364" t="s">
        <v>53</v>
      </c>
      <c r="D59" s="319">
        <v>2</v>
      </c>
      <c r="E59" s="319">
        <v>30</v>
      </c>
      <c r="F59" s="328">
        <v>3</v>
      </c>
      <c r="G59" s="328">
        <v>520</v>
      </c>
      <c r="H59" s="294">
        <v>105000000</v>
      </c>
      <c r="I59" s="294">
        <v>41550765</v>
      </c>
      <c r="J59" s="325" t="s">
        <v>2020</v>
      </c>
      <c r="K59" s="318" t="s">
        <v>13</v>
      </c>
      <c r="L59" s="318">
        <v>1</v>
      </c>
      <c r="M59" s="318">
        <v>0</v>
      </c>
    </row>
    <row r="60" spans="1:13" ht="47.25" customHeight="1" thickTop="1" thickBot="1" x14ac:dyDescent="0.3">
      <c r="A60" s="364" t="s">
        <v>1515</v>
      </c>
      <c r="B60" s="307" t="s">
        <v>1491</v>
      </c>
      <c r="C60" s="364" t="s">
        <v>53</v>
      </c>
      <c r="D60" s="319">
        <v>2</v>
      </c>
      <c r="E60" s="319">
        <v>30</v>
      </c>
      <c r="F60" s="328">
        <v>3</v>
      </c>
      <c r="G60" s="328">
        <v>520</v>
      </c>
      <c r="H60" s="294">
        <v>80000000</v>
      </c>
      <c r="I60" s="294">
        <v>76572460</v>
      </c>
      <c r="J60" s="325" t="s">
        <v>2035</v>
      </c>
      <c r="K60" s="318" t="s">
        <v>13</v>
      </c>
      <c r="L60" s="318">
        <v>1</v>
      </c>
      <c r="M60" s="318">
        <v>1</v>
      </c>
    </row>
    <row r="61" spans="1:13" ht="47.25" customHeight="1" thickTop="1" thickBot="1" x14ac:dyDescent="0.3">
      <c r="A61" s="364" t="s">
        <v>1515</v>
      </c>
      <c r="B61" s="307" t="s">
        <v>1491</v>
      </c>
      <c r="C61" s="364" t="s">
        <v>53</v>
      </c>
      <c r="D61" s="319">
        <v>2</v>
      </c>
      <c r="E61" s="319">
        <v>30</v>
      </c>
      <c r="F61" s="328">
        <v>3</v>
      </c>
      <c r="G61" s="328">
        <v>520</v>
      </c>
      <c r="H61" s="294">
        <v>70000000</v>
      </c>
      <c r="I61" s="294">
        <v>28072650</v>
      </c>
      <c r="J61" s="325" t="s">
        <v>2036</v>
      </c>
      <c r="K61" s="318" t="s">
        <v>13</v>
      </c>
      <c r="L61" s="318">
        <v>1</v>
      </c>
      <c r="M61" s="318">
        <v>0</v>
      </c>
    </row>
    <row r="62" spans="1:13" ht="47.25" customHeight="1" thickTop="1" thickBot="1" x14ac:dyDescent="0.3">
      <c r="A62" s="364" t="s">
        <v>1515</v>
      </c>
      <c r="B62" s="307" t="s">
        <v>1491</v>
      </c>
      <c r="C62" s="364" t="s">
        <v>53</v>
      </c>
      <c r="D62" s="319">
        <v>2</v>
      </c>
      <c r="E62" s="319">
        <v>30</v>
      </c>
      <c r="F62" s="328">
        <v>3</v>
      </c>
      <c r="G62" s="328">
        <v>520</v>
      </c>
      <c r="H62" s="294">
        <v>65000000</v>
      </c>
      <c r="I62" s="294">
        <v>59139800</v>
      </c>
      <c r="J62" s="325" t="s">
        <v>2037</v>
      </c>
      <c r="K62" s="318" t="s">
        <v>13</v>
      </c>
      <c r="L62" s="318">
        <v>1</v>
      </c>
      <c r="M62" s="318">
        <v>1</v>
      </c>
    </row>
    <row r="63" spans="1:13" ht="47.25" customHeight="1" thickTop="1" thickBot="1" x14ac:dyDescent="0.3">
      <c r="A63" s="364" t="s">
        <v>1515</v>
      </c>
      <c r="B63" s="307" t="s">
        <v>1491</v>
      </c>
      <c r="C63" s="364" t="s">
        <v>53</v>
      </c>
      <c r="D63" s="319">
        <v>2</v>
      </c>
      <c r="E63" s="319">
        <v>30</v>
      </c>
      <c r="F63" s="328">
        <v>3</v>
      </c>
      <c r="G63" s="328">
        <v>520</v>
      </c>
      <c r="H63" s="294">
        <v>176848879</v>
      </c>
      <c r="I63" s="294">
        <v>0</v>
      </c>
      <c r="J63" s="325" t="s">
        <v>1521</v>
      </c>
      <c r="K63" s="318" t="s">
        <v>13</v>
      </c>
      <c r="L63" s="318">
        <v>1</v>
      </c>
      <c r="M63" s="318">
        <v>0</v>
      </c>
    </row>
    <row r="64" spans="1:13" ht="37.5" customHeight="1" thickTop="1" thickBot="1" x14ac:dyDescent="0.3">
      <c r="A64" s="364" t="s">
        <v>1515</v>
      </c>
      <c r="B64" s="307" t="s">
        <v>1491</v>
      </c>
      <c r="C64" s="364" t="s">
        <v>440</v>
      </c>
      <c r="D64" s="319">
        <v>2</v>
      </c>
      <c r="E64" s="319">
        <v>30</v>
      </c>
      <c r="F64" s="328">
        <v>3</v>
      </c>
      <c r="G64" s="328">
        <v>520</v>
      </c>
      <c r="H64" s="294">
        <v>502339551</v>
      </c>
      <c r="I64" s="294">
        <v>0</v>
      </c>
      <c r="J64" s="325" t="s">
        <v>1522</v>
      </c>
      <c r="K64" s="318" t="s">
        <v>11</v>
      </c>
      <c r="L64" s="318">
        <v>1458</v>
      </c>
      <c r="M64" s="318">
        <v>0</v>
      </c>
    </row>
    <row r="65" spans="1:13" ht="39" customHeight="1" thickTop="1" thickBot="1" x14ac:dyDescent="0.3">
      <c r="A65" s="364" t="s">
        <v>1515</v>
      </c>
      <c r="B65" s="307" t="s">
        <v>1491</v>
      </c>
      <c r="C65" s="364" t="s">
        <v>105</v>
      </c>
      <c r="D65" s="319">
        <v>2</v>
      </c>
      <c r="E65" s="319">
        <v>30</v>
      </c>
      <c r="F65" s="328">
        <v>3</v>
      </c>
      <c r="G65" s="328">
        <v>540</v>
      </c>
      <c r="H65" s="294">
        <v>200000000</v>
      </c>
      <c r="I65" s="294">
        <v>99000000</v>
      </c>
      <c r="J65" s="325" t="s">
        <v>1523</v>
      </c>
      <c r="K65" s="318" t="s">
        <v>2082</v>
      </c>
      <c r="L65" s="318">
        <v>1000</v>
      </c>
      <c r="M65" s="318">
        <v>500</v>
      </c>
    </row>
    <row r="66" spans="1:13" ht="16.5" thickTop="1" thickBot="1" x14ac:dyDescent="0.3">
      <c r="H66" s="327"/>
      <c r="I66" s="327"/>
    </row>
    <row r="67" spans="1:13" ht="30" customHeight="1" thickTop="1" thickBot="1" x14ac:dyDescent="0.3">
      <c r="A67" s="639" t="s">
        <v>0</v>
      </c>
      <c r="B67" s="639" t="s">
        <v>1</v>
      </c>
      <c r="C67" s="639" t="s">
        <v>2569</v>
      </c>
      <c r="D67" s="636" t="s">
        <v>1961</v>
      </c>
      <c r="E67" s="637"/>
      <c r="F67" s="637"/>
      <c r="G67" s="638"/>
      <c r="H67" s="636" t="s">
        <v>3</v>
      </c>
      <c r="I67" s="637"/>
      <c r="J67" s="636" t="s">
        <v>1962</v>
      </c>
      <c r="K67" s="637"/>
      <c r="L67" s="637"/>
      <c r="M67" s="638"/>
    </row>
    <row r="68" spans="1:13" ht="34.5" customHeight="1" thickTop="1" thickBot="1" x14ac:dyDescent="0.3">
      <c r="A68" s="640"/>
      <c r="B68" s="640"/>
      <c r="C68" s="640"/>
      <c r="D68" s="209" t="s">
        <v>4</v>
      </c>
      <c r="E68" s="209" t="s">
        <v>5</v>
      </c>
      <c r="F68" s="209" t="s">
        <v>6</v>
      </c>
      <c r="G68" s="209" t="s">
        <v>7</v>
      </c>
      <c r="H68" s="209" t="s">
        <v>2</v>
      </c>
      <c r="I68" s="209" t="s">
        <v>3</v>
      </c>
      <c r="J68" s="209" t="s">
        <v>8</v>
      </c>
      <c r="K68" s="317" t="s">
        <v>9</v>
      </c>
      <c r="L68" s="317" t="s">
        <v>1963</v>
      </c>
      <c r="M68" s="317" t="s">
        <v>1964</v>
      </c>
    </row>
    <row r="69" spans="1:13" ht="60.75" customHeight="1" thickTop="1" thickBot="1" x14ac:dyDescent="0.3">
      <c r="A69" s="364" t="s">
        <v>1524</v>
      </c>
      <c r="B69" s="307" t="s">
        <v>1491</v>
      </c>
      <c r="C69" s="651" t="s">
        <v>18</v>
      </c>
      <c r="D69" s="319">
        <v>3</v>
      </c>
      <c r="E69" s="319">
        <v>30</v>
      </c>
      <c r="F69" s="328">
        <v>3</v>
      </c>
      <c r="G69" s="328">
        <v>848</v>
      </c>
      <c r="H69" s="294">
        <v>690052210</v>
      </c>
      <c r="I69" s="294">
        <v>0</v>
      </c>
      <c r="J69" s="325" t="s">
        <v>1525</v>
      </c>
      <c r="K69" s="318" t="s">
        <v>20</v>
      </c>
      <c r="L69" s="318">
        <v>538</v>
      </c>
      <c r="M69" s="318">
        <v>0</v>
      </c>
    </row>
    <row r="70" spans="1:13" ht="33" customHeight="1" thickTop="1" thickBot="1" x14ac:dyDescent="0.3">
      <c r="A70" s="364" t="s">
        <v>1524</v>
      </c>
      <c r="B70" s="307" t="s">
        <v>1491</v>
      </c>
      <c r="C70" s="653"/>
      <c r="D70" s="319">
        <v>3</v>
      </c>
      <c r="E70" s="319">
        <v>30</v>
      </c>
      <c r="F70" s="328">
        <v>3</v>
      </c>
      <c r="G70" s="328">
        <v>960</v>
      </c>
      <c r="H70" s="294">
        <v>475812645</v>
      </c>
      <c r="I70" s="294">
        <v>475812645</v>
      </c>
      <c r="J70" s="325" t="s">
        <v>1526</v>
      </c>
      <c r="K70" s="318" t="s">
        <v>16</v>
      </c>
      <c r="L70" s="318">
        <v>1</v>
      </c>
      <c r="M70" s="318">
        <v>1</v>
      </c>
    </row>
    <row r="71" spans="1:13" ht="46.5" thickTop="1" thickBot="1" x14ac:dyDescent="0.3">
      <c r="A71" s="364" t="s">
        <v>1524</v>
      </c>
      <c r="B71" s="307" t="s">
        <v>1491</v>
      </c>
      <c r="C71" s="364" t="s">
        <v>842</v>
      </c>
      <c r="D71" s="319">
        <v>3</v>
      </c>
      <c r="E71" s="319">
        <v>30</v>
      </c>
      <c r="F71" s="328">
        <v>3</v>
      </c>
      <c r="G71" s="328">
        <v>520</v>
      </c>
      <c r="H71" s="294">
        <v>412500000</v>
      </c>
      <c r="I71" s="294">
        <v>0</v>
      </c>
      <c r="J71" s="325" t="s">
        <v>1527</v>
      </c>
      <c r="K71" s="318" t="s">
        <v>1528</v>
      </c>
      <c r="L71" s="318">
        <v>6</v>
      </c>
      <c r="M71" s="318">
        <v>0</v>
      </c>
    </row>
    <row r="72" spans="1:13" ht="47.25" customHeight="1" thickTop="1" thickBot="1" x14ac:dyDescent="0.3">
      <c r="A72" s="364" t="s">
        <v>1524</v>
      </c>
      <c r="B72" s="307" t="s">
        <v>1491</v>
      </c>
      <c r="C72" s="364" t="s">
        <v>842</v>
      </c>
      <c r="D72" s="319">
        <v>3</v>
      </c>
      <c r="E72" s="319">
        <v>30</v>
      </c>
      <c r="F72" s="328">
        <v>3</v>
      </c>
      <c r="G72" s="328">
        <v>520</v>
      </c>
      <c r="H72" s="294">
        <v>805000000</v>
      </c>
      <c r="I72" s="294">
        <v>0</v>
      </c>
      <c r="J72" s="325" t="s">
        <v>1529</v>
      </c>
      <c r="K72" s="318" t="s">
        <v>55</v>
      </c>
      <c r="L72" s="318">
        <v>32</v>
      </c>
      <c r="M72" s="318">
        <v>0</v>
      </c>
    </row>
    <row r="73" spans="1:13" ht="47.25" customHeight="1" thickTop="1" thickBot="1" x14ac:dyDescent="0.3">
      <c r="A73" s="364" t="s">
        <v>1524</v>
      </c>
      <c r="B73" s="307" t="s">
        <v>1491</v>
      </c>
      <c r="C73" s="364" t="s">
        <v>842</v>
      </c>
      <c r="D73" s="319">
        <v>3</v>
      </c>
      <c r="E73" s="319">
        <v>30</v>
      </c>
      <c r="F73" s="328">
        <v>3</v>
      </c>
      <c r="G73" s="328">
        <v>520</v>
      </c>
      <c r="H73" s="294">
        <f>35000000+50000000</f>
        <v>85000000</v>
      </c>
      <c r="I73" s="294">
        <v>23400000</v>
      </c>
      <c r="J73" s="325" t="s">
        <v>1530</v>
      </c>
      <c r="K73" s="318" t="s">
        <v>14</v>
      </c>
      <c r="L73" s="318">
        <v>1</v>
      </c>
      <c r="M73" s="318">
        <v>1</v>
      </c>
    </row>
    <row r="74" spans="1:13" ht="47.25" customHeight="1" thickTop="1" thickBot="1" x14ac:dyDescent="0.3">
      <c r="A74" s="364" t="s">
        <v>1524</v>
      </c>
      <c r="B74" s="307" t="s">
        <v>1491</v>
      </c>
      <c r="C74" s="364" t="s">
        <v>842</v>
      </c>
      <c r="D74" s="319">
        <v>3</v>
      </c>
      <c r="E74" s="319">
        <v>30</v>
      </c>
      <c r="F74" s="328">
        <v>3</v>
      </c>
      <c r="G74" s="328">
        <v>520</v>
      </c>
      <c r="H74" s="294">
        <v>150000000</v>
      </c>
      <c r="I74" s="294">
        <v>0</v>
      </c>
      <c r="J74" s="325" t="s">
        <v>1531</v>
      </c>
      <c r="K74" s="318" t="s">
        <v>25</v>
      </c>
      <c r="L74" s="318">
        <v>6</v>
      </c>
      <c r="M74" s="318">
        <v>0</v>
      </c>
    </row>
    <row r="75" spans="1:13" ht="47.25" customHeight="1" thickTop="1" thickBot="1" x14ac:dyDescent="0.3">
      <c r="A75" s="364" t="s">
        <v>1524</v>
      </c>
      <c r="B75" s="307" t="s">
        <v>1491</v>
      </c>
      <c r="C75" s="364" t="s">
        <v>842</v>
      </c>
      <c r="D75" s="319">
        <v>3</v>
      </c>
      <c r="E75" s="319">
        <v>30</v>
      </c>
      <c r="F75" s="328">
        <v>3</v>
      </c>
      <c r="G75" s="328">
        <v>520</v>
      </c>
      <c r="H75" s="294">
        <v>156000000</v>
      </c>
      <c r="I75" s="294">
        <f>155122050+209000+66000</f>
        <v>155397050</v>
      </c>
      <c r="J75" s="325" t="s">
        <v>1532</v>
      </c>
      <c r="K75" s="318" t="s">
        <v>13</v>
      </c>
      <c r="L75" s="318">
        <v>1</v>
      </c>
      <c r="M75" s="318">
        <v>1</v>
      </c>
    </row>
    <row r="76" spans="1:13" ht="47.25" customHeight="1" thickTop="1" thickBot="1" x14ac:dyDescent="0.3">
      <c r="A76" s="364" t="s">
        <v>1524</v>
      </c>
      <c r="B76" s="307" t="s">
        <v>1491</v>
      </c>
      <c r="C76" s="364" t="s">
        <v>842</v>
      </c>
      <c r="D76" s="319">
        <v>3</v>
      </c>
      <c r="E76" s="319">
        <v>30</v>
      </c>
      <c r="F76" s="328">
        <v>3</v>
      </c>
      <c r="G76" s="328">
        <v>520</v>
      </c>
      <c r="H76" s="294">
        <f>200000000-85000000-25000000+79077566</f>
        <v>169077566</v>
      </c>
      <c r="I76" s="294">
        <v>52500000</v>
      </c>
      <c r="J76" s="325" t="s">
        <v>1533</v>
      </c>
      <c r="K76" s="318" t="s">
        <v>13</v>
      </c>
      <c r="L76" s="318">
        <v>1</v>
      </c>
      <c r="M76" s="318">
        <v>1</v>
      </c>
    </row>
    <row r="77" spans="1:13" ht="33" customHeight="1" thickTop="1" thickBot="1" x14ac:dyDescent="0.3">
      <c r="A77" s="364" t="s">
        <v>1524</v>
      </c>
      <c r="B77" s="307" t="s">
        <v>1491</v>
      </c>
      <c r="C77" s="651" t="s">
        <v>842</v>
      </c>
      <c r="D77" s="319">
        <v>3</v>
      </c>
      <c r="E77" s="319">
        <v>30</v>
      </c>
      <c r="F77" s="328">
        <v>3</v>
      </c>
      <c r="G77" s="328">
        <v>520</v>
      </c>
      <c r="H77" s="294">
        <f>80000000+68200414</f>
        <v>148200414</v>
      </c>
      <c r="I77" s="294">
        <v>50000000</v>
      </c>
      <c r="J77" s="325" t="s">
        <v>1534</v>
      </c>
      <c r="K77" s="318" t="s">
        <v>108</v>
      </c>
      <c r="L77" s="318">
        <v>20</v>
      </c>
      <c r="M77" s="318">
        <v>6</v>
      </c>
    </row>
    <row r="78" spans="1:13" ht="38.25" customHeight="1" thickTop="1" thickBot="1" x14ac:dyDescent="0.3">
      <c r="A78" s="364" t="s">
        <v>1524</v>
      </c>
      <c r="B78" s="307" t="s">
        <v>1491</v>
      </c>
      <c r="C78" s="653"/>
      <c r="D78" s="319">
        <v>3</v>
      </c>
      <c r="E78" s="319">
        <v>30</v>
      </c>
      <c r="F78" s="328">
        <v>3</v>
      </c>
      <c r="G78" s="328">
        <v>980</v>
      </c>
      <c r="H78" s="294">
        <v>215901526</v>
      </c>
      <c r="I78" s="294">
        <v>213584726</v>
      </c>
      <c r="J78" s="325" t="s">
        <v>2021</v>
      </c>
      <c r="K78" s="318" t="s">
        <v>16</v>
      </c>
      <c r="L78" s="318">
        <v>6</v>
      </c>
      <c r="M78" s="318">
        <v>6</v>
      </c>
    </row>
    <row r="79" spans="1:13" ht="16.5" thickTop="1" thickBot="1" x14ac:dyDescent="0.3">
      <c r="H79" s="327"/>
      <c r="I79" s="327"/>
    </row>
    <row r="80" spans="1:13" ht="30" customHeight="1" thickTop="1" thickBot="1" x14ac:dyDescent="0.3">
      <c r="A80" s="639" t="s">
        <v>0</v>
      </c>
      <c r="B80" s="639" t="s">
        <v>1</v>
      </c>
      <c r="C80" s="639" t="s">
        <v>2569</v>
      </c>
      <c r="D80" s="636" t="s">
        <v>1961</v>
      </c>
      <c r="E80" s="637"/>
      <c r="F80" s="637"/>
      <c r="G80" s="638"/>
      <c r="H80" s="636" t="s">
        <v>3</v>
      </c>
      <c r="I80" s="637"/>
      <c r="J80" s="636" t="s">
        <v>1962</v>
      </c>
      <c r="K80" s="637"/>
      <c r="L80" s="637"/>
      <c r="M80" s="638"/>
    </row>
    <row r="81" spans="1:13" ht="34.5" customHeight="1" thickTop="1" thickBot="1" x14ac:dyDescent="0.3">
      <c r="A81" s="661"/>
      <c r="B81" s="661"/>
      <c r="C81" s="661"/>
      <c r="D81" s="321" t="s">
        <v>4</v>
      </c>
      <c r="E81" s="321" t="s">
        <v>5</v>
      </c>
      <c r="F81" s="321" t="s">
        <v>6</v>
      </c>
      <c r="G81" s="321" t="s">
        <v>7</v>
      </c>
      <c r="H81" s="321" t="s">
        <v>2</v>
      </c>
      <c r="I81" s="321" t="s">
        <v>3</v>
      </c>
      <c r="J81" s="209" t="s">
        <v>8</v>
      </c>
      <c r="K81" s="317" t="s">
        <v>9</v>
      </c>
      <c r="L81" s="317" t="s">
        <v>1963</v>
      </c>
      <c r="M81" s="317" t="s">
        <v>1964</v>
      </c>
    </row>
    <row r="82" spans="1:13" ht="46.5" thickTop="1" thickBot="1" x14ac:dyDescent="0.3">
      <c r="A82" s="211" t="s">
        <v>1535</v>
      </c>
      <c r="B82" s="307" t="s">
        <v>1491</v>
      </c>
      <c r="C82" s="688" t="s">
        <v>1536</v>
      </c>
      <c r="D82" s="671">
        <v>2</v>
      </c>
      <c r="E82" s="671">
        <v>30</v>
      </c>
      <c r="F82" s="671">
        <v>3</v>
      </c>
      <c r="G82" s="671">
        <v>848</v>
      </c>
      <c r="H82" s="678">
        <v>301205009</v>
      </c>
      <c r="I82" s="678">
        <v>203843080</v>
      </c>
      <c r="J82" s="216" t="s">
        <v>2038</v>
      </c>
      <c r="K82" s="263" t="s">
        <v>20</v>
      </c>
      <c r="L82" s="263">
        <v>276</v>
      </c>
      <c r="M82" s="263">
        <v>276</v>
      </c>
    </row>
    <row r="83" spans="1:13" ht="31.5" thickTop="1" thickBot="1" x14ac:dyDescent="0.3">
      <c r="A83" s="211" t="s">
        <v>1535</v>
      </c>
      <c r="B83" s="307" t="s">
        <v>1491</v>
      </c>
      <c r="C83" s="688"/>
      <c r="D83" s="671"/>
      <c r="E83" s="671"/>
      <c r="F83" s="671"/>
      <c r="G83" s="671"/>
      <c r="H83" s="678"/>
      <c r="I83" s="678"/>
      <c r="J83" s="334" t="s">
        <v>1537</v>
      </c>
      <c r="K83" s="263" t="s">
        <v>75</v>
      </c>
      <c r="L83" s="306">
        <v>26192</v>
      </c>
      <c r="M83" s="306">
        <v>26192</v>
      </c>
    </row>
    <row r="84" spans="1:13" ht="35.25" thickTop="1" thickBot="1" x14ac:dyDescent="0.3">
      <c r="A84" s="211" t="s">
        <v>1535</v>
      </c>
      <c r="B84" s="307" t="s">
        <v>1491</v>
      </c>
      <c r="C84" s="688" t="s">
        <v>53</v>
      </c>
      <c r="D84" s="263">
        <v>3</v>
      </c>
      <c r="E84" s="263">
        <v>30</v>
      </c>
      <c r="F84" s="263">
        <v>3</v>
      </c>
      <c r="G84" s="263">
        <v>520</v>
      </c>
      <c r="H84" s="333">
        <v>290799680</v>
      </c>
      <c r="I84" s="523">
        <v>0</v>
      </c>
      <c r="J84" s="334" t="s">
        <v>1538</v>
      </c>
      <c r="K84" s="263" t="s">
        <v>2080</v>
      </c>
      <c r="L84" s="306">
        <v>1</v>
      </c>
      <c r="M84" s="306">
        <v>0</v>
      </c>
    </row>
    <row r="85" spans="1:13" ht="31.5" thickTop="1" thickBot="1" x14ac:dyDescent="0.3">
      <c r="A85" s="211" t="s">
        <v>1535</v>
      </c>
      <c r="B85" s="307" t="s">
        <v>1491</v>
      </c>
      <c r="C85" s="688"/>
      <c r="D85" s="263">
        <v>3</v>
      </c>
      <c r="E85" s="263">
        <v>30</v>
      </c>
      <c r="F85" s="263">
        <v>3</v>
      </c>
      <c r="G85" s="263">
        <v>520</v>
      </c>
      <c r="H85" s="333">
        <v>205644789</v>
      </c>
      <c r="I85" s="333">
        <v>122251914</v>
      </c>
      <c r="J85" s="334" t="s">
        <v>2022</v>
      </c>
      <c r="K85" s="263" t="s">
        <v>11</v>
      </c>
      <c r="L85" s="306">
        <v>3713</v>
      </c>
      <c r="M85" s="306">
        <v>1750</v>
      </c>
    </row>
    <row r="86" spans="1:13" ht="35.25" thickTop="1" thickBot="1" x14ac:dyDescent="0.3">
      <c r="A86" s="211" t="s">
        <v>1535</v>
      </c>
      <c r="B86" s="307" t="s">
        <v>1491</v>
      </c>
      <c r="C86" s="688"/>
      <c r="D86" s="263">
        <v>3</v>
      </c>
      <c r="E86" s="263">
        <v>30</v>
      </c>
      <c r="F86" s="263">
        <v>3</v>
      </c>
      <c r="G86" s="263">
        <v>520</v>
      </c>
      <c r="H86" s="333">
        <v>330000000</v>
      </c>
      <c r="I86" s="333">
        <v>174056622</v>
      </c>
      <c r="J86" s="334" t="s">
        <v>1539</v>
      </c>
      <c r="K86" s="263" t="s">
        <v>55</v>
      </c>
      <c r="L86" s="306">
        <v>4</v>
      </c>
      <c r="M86" s="306">
        <v>2</v>
      </c>
    </row>
    <row r="87" spans="1:13" ht="31.5" thickTop="1" thickBot="1" x14ac:dyDescent="0.3">
      <c r="A87" s="211" t="s">
        <v>1535</v>
      </c>
      <c r="B87" s="307" t="s">
        <v>1491</v>
      </c>
      <c r="C87" s="688"/>
      <c r="D87" s="263">
        <v>3</v>
      </c>
      <c r="E87" s="263">
        <v>30</v>
      </c>
      <c r="F87" s="263">
        <v>3</v>
      </c>
      <c r="G87" s="263">
        <v>520</v>
      </c>
      <c r="H87" s="333">
        <v>450000000</v>
      </c>
      <c r="I87" s="333">
        <v>47853525</v>
      </c>
      <c r="J87" s="334" t="s">
        <v>1540</v>
      </c>
      <c r="K87" s="263" t="s">
        <v>81</v>
      </c>
      <c r="L87" s="306">
        <v>5</v>
      </c>
      <c r="M87" s="306">
        <v>1</v>
      </c>
    </row>
    <row r="88" spans="1:13" ht="35.25" thickTop="1" thickBot="1" x14ac:dyDescent="0.3">
      <c r="A88" s="211" t="s">
        <v>1535</v>
      </c>
      <c r="B88" s="307" t="s">
        <v>1491</v>
      </c>
      <c r="C88" s="688"/>
      <c r="D88" s="263">
        <v>3</v>
      </c>
      <c r="E88" s="263">
        <v>30</v>
      </c>
      <c r="F88" s="263">
        <v>3</v>
      </c>
      <c r="G88" s="263">
        <v>520</v>
      </c>
      <c r="H88" s="333">
        <v>200000000</v>
      </c>
      <c r="I88" s="333">
        <v>0</v>
      </c>
      <c r="J88" s="334" t="s">
        <v>2039</v>
      </c>
      <c r="K88" s="263" t="s">
        <v>11</v>
      </c>
      <c r="L88" s="306">
        <v>250</v>
      </c>
      <c r="M88" s="306">
        <v>0</v>
      </c>
    </row>
    <row r="89" spans="1:13" ht="50.25" customHeight="1" thickTop="1" thickBot="1" x14ac:dyDescent="0.3">
      <c r="A89" s="211" t="s">
        <v>1535</v>
      </c>
      <c r="B89" s="307" t="s">
        <v>1491</v>
      </c>
      <c r="C89" s="323" t="s">
        <v>842</v>
      </c>
      <c r="D89" s="263">
        <v>4</v>
      </c>
      <c r="E89" s="263">
        <v>30</v>
      </c>
      <c r="F89" s="263">
        <v>3</v>
      </c>
      <c r="G89" s="263">
        <v>980</v>
      </c>
      <c r="H89" s="333">
        <v>247410532</v>
      </c>
      <c r="I89" s="333">
        <v>247410164</v>
      </c>
      <c r="J89" s="334" t="s">
        <v>2023</v>
      </c>
      <c r="K89" s="263" t="s">
        <v>16</v>
      </c>
      <c r="L89" s="306">
        <v>2</v>
      </c>
      <c r="M89" s="306">
        <v>2</v>
      </c>
    </row>
    <row r="90" spans="1:13" ht="16.5" thickTop="1" thickBot="1" x14ac:dyDescent="0.3">
      <c r="H90" s="327"/>
      <c r="I90" s="327"/>
    </row>
    <row r="91" spans="1:13" ht="30" customHeight="1" thickTop="1" thickBot="1" x14ac:dyDescent="0.3">
      <c r="A91" s="639" t="s">
        <v>0</v>
      </c>
      <c r="B91" s="639" t="s">
        <v>1</v>
      </c>
      <c r="C91" s="639" t="s">
        <v>2569</v>
      </c>
      <c r="D91" s="636" t="s">
        <v>1961</v>
      </c>
      <c r="E91" s="637"/>
      <c r="F91" s="637"/>
      <c r="G91" s="638"/>
      <c r="H91" s="636" t="s">
        <v>3</v>
      </c>
      <c r="I91" s="637"/>
      <c r="J91" s="636" t="s">
        <v>1962</v>
      </c>
      <c r="K91" s="637"/>
      <c r="L91" s="637"/>
      <c r="M91" s="638"/>
    </row>
    <row r="92" spans="1:13" ht="34.5" customHeight="1" thickTop="1" thickBot="1" x14ac:dyDescent="0.3">
      <c r="A92" s="661"/>
      <c r="B92" s="661"/>
      <c r="C92" s="661"/>
      <c r="D92" s="321" t="s">
        <v>4</v>
      </c>
      <c r="E92" s="321" t="s">
        <v>5</v>
      </c>
      <c r="F92" s="321" t="s">
        <v>6</v>
      </c>
      <c r="G92" s="321" t="s">
        <v>7</v>
      </c>
      <c r="H92" s="321" t="s">
        <v>2</v>
      </c>
      <c r="I92" s="321" t="s">
        <v>3</v>
      </c>
      <c r="J92" s="209" t="s">
        <v>8</v>
      </c>
      <c r="K92" s="317" t="s">
        <v>9</v>
      </c>
      <c r="L92" s="317" t="s">
        <v>1963</v>
      </c>
      <c r="M92" s="317" t="s">
        <v>1964</v>
      </c>
    </row>
    <row r="93" spans="1:13" ht="49.5" customHeight="1" thickTop="1" thickBot="1" x14ac:dyDescent="0.3">
      <c r="A93" s="335" t="s">
        <v>1541</v>
      </c>
      <c r="B93" s="335" t="s">
        <v>1491</v>
      </c>
      <c r="C93" s="335" t="s">
        <v>18</v>
      </c>
      <c r="D93" s="335">
        <v>3</v>
      </c>
      <c r="E93" s="335">
        <v>30</v>
      </c>
      <c r="F93" s="335">
        <v>3</v>
      </c>
      <c r="G93" s="335">
        <v>848</v>
      </c>
      <c r="H93" s="336">
        <v>1054510677</v>
      </c>
      <c r="I93" s="336">
        <v>527520000</v>
      </c>
      <c r="J93" s="340" t="s">
        <v>1542</v>
      </c>
      <c r="K93" s="337" t="s">
        <v>20</v>
      </c>
      <c r="L93" s="339">
        <v>1285</v>
      </c>
      <c r="M93" s="339">
        <v>1285</v>
      </c>
    </row>
    <row r="94" spans="1:13" ht="39.75" customHeight="1" thickTop="1" thickBot="1" x14ac:dyDescent="0.3">
      <c r="A94" s="335" t="s">
        <v>1541</v>
      </c>
      <c r="B94" s="335" t="s">
        <v>1491</v>
      </c>
      <c r="C94" s="675" t="s">
        <v>842</v>
      </c>
      <c r="D94" s="335">
        <v>3</v>
      </c>
      <c r="E94" s="335">
        <v>30</v>
      </c>
      <c r="F94" s="335">
        <v>3</v>
      </c>
      <c r="G94" s="335">
        <v>520</v>
      </c>
      <c r="H94" s="336">
        <v>746867988</v>
      </c>
      <c r="I94" s="336">
        <v>366337315</v>
      </c>
      <c r="J94" s="340" t="s">
        <v>1543</v>
      </c>
      <c r="K94" s="337" t="s">
        <v>55</v>
      </c>
      <c r="L94" s="339">
        <v>9</v>
      </c>
      <c r="M94" s="339">
        <v>5</v>
      </c>
    </row>
    <row r="95" spans="1:13" ht="39.75" customHeight="1" thickTop="1" thickBot="1" x14ac:dyDescent="0.3">
      <c r="A95" s="335" t="s">
        <v>1541</v>
      </c>
      <c r="B95" s="335" t="s">
        <v>1491</v>
      </c>
      <c r="C95" s="676"/>
      <c r="D95" s="335">
        <v>3</v>
      </c>
      <c r="E95" s="335">
        <v>30</v>
      </c>
      <c r="F95" s="335">
        <v>3</v>
      </c>
      <c r="G95" s="335">
        <v>520</v>
      </c>
      <c r="H95" s="336">
        <v>279430645</v>
      </c>
      <c r="I95" s="336">
        <v>265754250</v>
      </c>
      <c r="J95" s="340" t="s">
        <v>1544</v>
      </c>
      <c r="K95" s="337" t="s">
        <v>55</v>
      </c>
      <c r="L95" s="339">
        <v>7</v>
      </c>
      <c r="M95" s="339">
        <v>7</v>
      </c>
    </row>
    <row r="96" spans="1:13" ht="39.75" customHeight="1" thickTop="1" thickBot="1" x14ac:dyDescent="0.3">
      <c r="A96" s="335" t="s">
        <v>1541</v>
      </c>
      <c r="B96" s="335" t="s">
        <v>1491</v>
      </c>
      <c r="C96" s="676"/>
      <c r="D96" s="335">
        <v>3</v>
      </c>
      <c r="E96" s="335">
        <v>30</v>
      </c>
      <c r="F96" s="335">
        <v>3</v>
      </c>
      <c r="G96" s="335">
        <v>520</v>
      </c>
      <c r="H96" s="336">
        <v>95000000</v>
      </c>
      <c r="I96" s="336">
        <v>8863500</v>
      </c>
      <c r="J96" s="340" t="s">
        <v>1545</v>
      </c>
      <c r="K96" s="337" t="s">
        <v>2081</v>
      </c>
      <c r="L96" s="339">
        <v>1</v>
      </c>
      <c r="M96" s="339">
        <v>1</v>
      </c>
    </row>
    <row r="97" spans="1:13" ht="39.75" customHeight="1" thickTop="1" thickBot="1" x14ac:dyDescent="0.3">
      <c r="A97" s="335" t="s">
        <v>1541</v>
      </c>
      <c r="B97" s="335" t="s">
        <v>1491</v>
      </c>
      <c r="C97" s="676"/>
      <c r="D97" s="335">
        <v>3</v>
      </c>
      <c r="E97" s="335">
        <v>30</v>
      </c>
      <c r="F97" s="335">
        <v>3</v>
      </c>
      <c r="G97" s="335">
        <v>520</v>
      </c>
      <c r="H97" s="336">
        <v>164000000</v>
      </c>
      <c r="I97" s="336">
        <v>0</v>
      </c>
      <c r="J97" s="340" t="s">
        <v>1546</v>
      </c>
      <c r="K97" s="337" t="s">
        <v>13</v>
      </c>
      <c r="L97" s="339">
        <v>2</v>
      </c>
      <c r="M97" s="339">
        <v>0</v>
      </c>
    </row>
    <row r="98" spans="1:13" ht="39.75" customHeight="1" thickTop="1" thickBot="1" x14ac:dyDescent="0.3">
      <c r="A98" s="335" t="s">
        <v>1541</v>
      </c>
      <c r="B98" s="335" t="s">
        <v>1491</v>
      </c>
      <c r="C98" s="676"/>
      <c r="D98" s="335">
        <v>3</v>
      </c>
      <c r="E98" s="335">
        <v>30</v>
      </c>
      <c r="F98" s="335">
        <v>3</v>
      </c>
      <c r="G98" s="335">
        <v>520</v>
      </c>
      <c r="H98" s="336">
        <v>21385626</v>
      </c>
      <c r="I98" s="336">
        <v>0</v>
      </c>
      <c r="J98" s="340" t="s">
        <v>1547</v>
      </c>
      <c r="K98" s="337" t="s">
        <v>13</v>
      </c>
      <c r="L98" s="339">
        <v>2</v>
      </c>
      <c r="M98" s="339">
        <v>0</v>
      </c>
    </row>
    <row r="99" spans="1:13" ht="34.5" customHeight="1" thickTop="1" thickBot="1" x14ac:dyDescent="0.3">
      <c r="A99" s="335" t="s">
        <v>1541</v>
      </c>
      <c r="B99" s="335" t="s">
        <v>1491</v>
      </c>
      <c r="C99" s="676"/>
      <c r="D99" s="335">
        <v>3</v>
      </c>
      <c r="E99" s="335">
        <v>30</v>
      </c>
      <c r="F99" s="335">
        <v>3</v>
      </c>
      <c r="G99" s="335">
        <v>520</v>
      </c>
      <c r="H99" s="336">
        <v>270000000</v>
      </c>
      <c r="I99" s="336">
        <v>209951994</v>
      </c>
      <c r="J99" s="340" t="s">
        <v>1548</v>
      </c>
      <c r="K99" s="337" t="s">
        <v>25</v>
      </c>
      <c r="L99" s="339">
        <v>9</v>
      </c>
      <c r="M99" s="339">
        <v>7</v>
      </c>
    </row>
    <row r="100" spans="1:13" ht="34.5" customHeight="1" thickTop="1" thickBot="1" x14ac:dyDescent="0.3">
      <c r="A100" s="335" t="s">
        <v>1541</v>
      </c>
      <c r="B100" s="335" t="s">
        <v>1491</v>
      </c>
      <c r="C100" s="676"/>
      <c r="D100" s="335">
        <v>3</v>
      </c>
      <c r="E100" s="335">
        <v>30</v>
      </c>
      <c r="F100" s="335">
        <v>3</v>
      </c>
      <c r="G100" s="335">
        <v>520</v>
      </c>
      <c r="H100" s="336">
        <v>36000000</v>
      </c>
      <c r="I100" s="336">
        <v>0</v>
      </c>
      <c r="J100" s="340" t="s">
        <v>1549</v>
      </c>
      <c r="K100" s="337" t="s">
        <v>13</v>
      </c>
      <c r="L100" s="339">
        <v>3</v>
      </c>
      <c r="M100" s="339">
        <v>0</v>
      </c>
    </row>
    <row r="101" spans="1:13" ht="34.5" customHeight="1" thickTop="1" thickBot="1" x14ac:dyDescent="0.3">
      <c r="A101" s="335" t="s">
        <v>1541</v>
      </c>
      <c r="B101" s="335" t="s">
        <v>1491</v>
      </c>
      <c r="C101" s="676"/>
      <c r="D101" s="335">
        <v>3</v>
      </c>
      <c r="E101" s="335">
        <v>30</v>
      </c>
      <c r="F101" s="335">
        <v>3</v>
      </c>
      <c r="G101" s="335">
        <v>520</v>
      </c>
      <c r="H101" s="336">
        <v>286101445</v>
      </c>
      <c r="I101" s="336">
        <v>242661600</v>
      </c>
      <c r="J101" s="340" t="s">
        <v>1550</v>
      </c>
      <c r="K101" s="337" t="s">
        <v>13</v>
      </c>
      <c r="L101" s="339">
        <v>1</v>
      </c>
      <c r="M101" s="339">
        <v>1</v>
      </c>
    </row>
    <row r="102" spans="1:13" ht="36.75" customHeight="1" thickTop="1" thickBot="1" x14ac:dyDescent="0.3">
      <c r="A102" s="335" t="s">
        <v>1541</v>
      </c>
      <c r="B102" s="335" t="s">
        <v>1491</v>
      </c>
      <c r="C102" s="677"/>
      <c r="D102" s="335">
        <v>3</v>
      </c>
      <c r="E102" s="335">
        <v>30</v>
      </c>
      <c r="F102" s="335">
        <v>3</v>
      </c>
      <c r="G102" s="335">
        <v>540</v>
      </c>
      <c r="H102" s="336">
        <v>50000000</v>
      </c>
      <c r="I102" s="336">
        <v>0</v>
      </c>
      <c r="J102" s="340" t="s">
        <v>2040</v>
      </c>
      <c r="K102" s="337" t="s">
        <v>180</v>
      </c>
      <c r="L102" s="339">
        <v>20</v>
      </c>
      <c r="M102" s="339">
        <v>0</v>
      </c>
    </row>
    <row r="103" spans="1:13" ht="42" customHeight="1" thickTop="1" thickBot="1" x14ac:dyDescent="0.3">
      <c r="A103" s="335" t="s">
        <v>1541</v>
      </c>
      <c r="B103" s="335" t="s">
        <v>1491</v>
      </c>
      <c r="C103" s="331" t="s">
        <v>105</v>
      </c>
      <c r="D103" s="335">
        <v>3</v>
      </c>
      <c r="E103" s="335">
        <v>30</v>
      </c>
      <c r="F103" s="335">
        <v>3</v>
      </c>
      <c r="G103" s="335">
        <v>540</v>
      </c>
      <c r="H103" s="336">
        <v>150000000</v>
      </c>
      <c r="I103" s="336">
        <v>0</v>
      </c>
      <c r="J103" s="340" t="s">
        <v>1551</v>
      </c>
      <c r="K103" s="337" t="s">
        <v>2082</v>
      </c>
      <c r="L103" s="339">
        <v>920</v>
      </c>
      <c r="M103" s="339">
        <v>0</v>
      </c>
    </row>
    <row r="104" spans="1:13" ht="50.25" customHeight="1" thickTop="1" thickBot="1" x14ac:dyDescent="0.3">
      <c r="A104" s="335" t="s">
        <v>1541</v>
      </c>
      <c r="B104" s="335" t="s">
        <v>1491</v>
      </c>
      <c r="C104" s="323" t="s">
        <v>842</v>
      </c>
      <c r="D104" s="335">
        <v>3</v>
      </c>
      <c r="E104" s="335">
        <v>30</v>
      </c>
      <c r="F104" s="335">
        <v>3</v>
      </c>
      <c r="G104" s="335">
        <v>980</v>
      </c>
      <c r="H104" s="336">
        <v>361739210</v>
      </c>
      <c r="I104" s="336">
        <v>358740862</v>
      </c>
      <c r="J104" s="340" t="s">
        <v>2004</v>
      </c>
      <c r="K104" s="337" t="s">
        <v>16</v>
      </c>
      <c r="L104" s="339">
        <v>11</v>
      </c>
      <c r="M104" s="339">
        <v>10</v>
      </c>
    </row>
    <row r="105" spans="1:13" ht="16.5" thickTop="1" thickBot="1" x14ac:dyDescent="0.3">
      <c r="H105" s="327"/>
      <c r="I105" s="327"/>
    </row>
    <row r="106" spans="1:13" ht="30" customHeight="1" thickTop="1" thickBot="1" x14ac:dyDescent="0.3">
      <c r="A106" s="639" t="s">
        <v>0</v>
      </c>
      <c r="B106" s="639" t="s">
        <v>1</v>
      </c>
      <c r="C106" s="639" t="s">
        <v>2569</v>
      </c>
      <c r="D106" s="636" t="s">
        <v>1961</v>
      </c>
      <c r="E106" s="637"/>
      <c r="F106" s="637"/>
      <c r="G106" s="638"/>
      <c r="H106" s="636" t="s">
        <v>3</v>
      </c>
      <c r="I106" s="637"/>
      <c r="J106" s="636" t="s">
        <v>1962</v>
      </c>
      <c r="K106" s="637"/>
      <c r="L106" s="637"/>
      <c r="M106" s="638"/>
    </row>
    <row r="107" spans="1:13" ht="34.5" customHeight="1" thickTop="1" thickBot="1" x14ac:dyDescent="0.3">
      <c r="A107" s="661"/>
      <c r="B107" s="661"/>
      <c r="C107" s="661"/>
      <c r="D107" s="321" t="s">
        <v>4</v>
      </c>
      <c r="E107" s="321" t="s">
        <v>5</v>
      </c>
      <c r="F107" s="321" t="s">
        <v>6</v>
      </c>
      <c r="G107" s="321" t="s">
        <v>7</v>
      </c>
      <c r="H107" s="321" t="s">
        <v>2</v>
      </c>
      <c r="I107" s="321" t="s">
        <v>3</v>
      </c>
      <c r="J107" s="209" t="s">
        <v>8</v>
      </c>
      <c r="K107" s="317" t="s">
        <v>9</v>
      </c>
      <c r="L107" s="317" t="s">
        <v>1963</v>
      </c>
      <c r="M107" s="317" t="s">
        <v>1964</v>
      </c>
    </row>
    <row r="108" spans="1:13" ht="54" customHeight="1" thickTop="1" thickBot="1" x14ac:dyDescent="0.3">
      <c r="A108" s="364" t="s">
        <v>1552</v>
      </c>
      <c r="B108" s="364" t="s">
        <v>1491</v>
      </c>
      <c r="C108" s="366" t="s">
        <v>18</v>
      </c>
      <c r="D108" s="323">
        <v>2</v>
      </c>
      <c r="E108" s="326">
        <v>30</v>
      </c>
      <c r="F108" s="341" t="s">
        <v>297</v>
      </c>
      <c r="G108" s="326">
        <v>848</v>
      </c>
      <c r="H108" s="324">
        <v>1061670901</v>
      </c>
      <c r="I108" s="294">
        <v>828336000</v>
      </c>
      <c r="J108" s="325" t="s">
        <v>2007</v>
      </c>
      <c r="K108" s="326" t="s">
        <v>20</v>
      </c>
      <c r="L108" s="326">
        <v>1100</v>
      </c>
      <c r="M108" s="326">
        <v>860</v>
      </c>
    </row>
    <row r="109" spans="1:13" ht="36.75" customHeight="1" thickTop="1" thickBot="1" x14ac:dyDescent="0.3">
      <c r="A109" s="364" t="s">
        <v>1552</v>
      </c>
      <c r="B109" s="364" t="s">
        <v>1491</v>
      </c>
      <c r="C109" s="654" t="s">
        <v>842</v>
      </c>
      <c r="D109" s="516">
        <v>3</v>
      </c>
      <c r="E109" s="520">
        <v>30</v>
      </c>
      <c r="F109" s="367" t="s">
        <v>297</v>
      </c>
      <c r="G109" s="362">
        <v>520</v>
      </c>
      <c r="H109" s="363">
        <v>478024434</v>
      </c>
      <c r="I109" s="368">
        <v>118367415</v>
      </c>
      <c r="J109" s="361" t="s">
        <v>1553</v>
      </c>
      <c r="K109" s="362" t="s">
        <v>25</v>
      </c>
      <c r="L109" s="362">
        <v>8</v>
      </c>
      <c r="M109" s="362">
        <v>2</v>
      </c>
    </row>
    <row r="110" spans="1:13" ht="36" customHeight="1" thickTop="1" thickBot="1" x14ac:dyDescent="0.3">
      <c r="A110" s="364" t="s">
        <v>1552</v>
      </c>
      <c r="B110" s="364" t="s">
        <v>1491</v>
      </c>
      <c r="C110" s="654"/>
      <c r="D110" s="323">
        <v>2</v>
      </c>
      <c r="E110" s="326">
        <v>30</v>
      </c>
      <c r="F110" s="367" t="s">
        <v>297</v>
      </c>
      <c r="G110" s="326">
        <v>520</v>
      </c>
      <c r="H110" s="322">
        <v>478024434</v>
      </c>
      <c r="I110" s="294">
        <v>118367415</v>
      </c>
      <c r="J110" s="325" t="s">
        <v>1553</v>
      </c>
      <c r="K110" s="326" t="s">
        <v>25</v>
      </c>
      <c r="L110" s="326">
        <v>8</v>
      </c>
      <c r="M110" s="326">
        <v>2</v>
      </c>
    </row>
    <row r="111" spans="1:13" ht="36" customHeight="1" thickTop="1" thickBot="1" x14ac:dyDescent="0.3">
      <c r="A111" s="364" t="s">
        <v>1552</v>
      </c>
      <c r="B111" s="364" t="s">
        <v>1491</v>
      </c>
      <c r="C111" s="654"/>
      <c r="D111" s="323">
        <v>2</v>
      </c>
      <c r="E111" s="326">
        <v>30</v>
      </c>
      <c r="F111" s="367" t="s">
        <v>297</v>
      </c>
      <c r="G111" s="326">
        <v>520</v>
      </c>
      <c r="H111" s="322">
        <v>240000000</v>
      </c>
      <c r="I111" s="294">
        <v>0</v>
      </c>
      <c r="J111" s="325" t="s">
        <v>1554</v>
      </c>
      <c r="K111" s="326" t="s">
        <v>55</v>
      </c>
      <c r="L111" s="323">
        <v>5</v>
      </c>
      <c r="M111" s="326">
        <v>0</v>
      </c>
    </row>
    <row r="112" spans="1:13" ht="38.25" customHeight="1" thickTop="1" thickBot="1" x14ac:dyDescent="0.3">
      <c r="A112" s="364" t="s">
        <v>1552</v>
      </c>
      <c r="B112" s="364" t="s">
        <v>1491</v>
      </c>
      <c r="C112" s="654"/>
      <c r="D112" s="372">
        <v>2</v>
      </c>
      <c r="E112" s="372">
        <v>30</v>
      </c>
      <c r="F112" s="367" t="s">
        <v>297</v>
      </c>
      <c r="G112" s="372">
        <v>520</v>
      </c>
      <c r="H112" s="373">
        <v>227809765</v>
      </c>
      <c r="I112" s="365">
        <v>0</v>
      </c>
      <c r="J112" s="375" t="s">
        <v>1555</v>
      </c>
      <c r="K112" s="374" t="s">
        <v>25</v>
      </c>
      <c r="L112" s="374">
        <v>9</v>
      </c>
      <c r="M112" s="372" t="s">
        <v>654</v>
      </c>
    </row>
    <row r="113" spans="1:13" ht="60" customHeight="1" thickTop="1" thickBot="1" x14ac:dyDescent="0.3">
      <c r="A113" s="364" t="s">
        <v>1552</v>
      </c>
      <c r="B113" s="364" t="s">
        <v>1491</v>
      </c>
      <c r="C113" s="654"/>
      <c r="D113" s="341" t="s">
        <v>717</v>
      </c>
      <c r="E113" s="341" t="s">
        <v>1556</v>
      </c>
      <c r="F113" s="367" t="s">
        <v>297</v>
      </c>
      <c r="G113" s="341" t="s">
        <v>1557</v>
      </c>
      <c r="H113" s="322">
        <v>67057100</v>
      </c>
      <c r="I113" s="294">
        <v>67057100</v>
      </c>
      <c r="J113" s="325" t="s">
        <v>2074</v>
      </c>
      <c r="K113" s="326" t="s">
        <v>13</v>
      </c>
      <c r="L113" s="341" t="s">
        <v>717</v>
      </c>
      <c r="M113" s="341" t="s">
        <v>717</v>
      </c>
    </row>
    <row r="114" spans="1:13" ht="39.75" customHeight="1" thickTop="1" thickBot="1" x14ac:dyDescent="0.3">
      <c r="A114" s="364" t="s">
        <v>1552</v>
      </c>
      <c r="B114" s="364" t="s">
        <v>1491</v>
      </c>
      <c r="C114" s="364" t="s">
        <v>105</v>
      </c>
      <c r="D114" s="367">
        <v>2</v>
      </c>
      <c r="E114" s="367">
        <v>30</v>
      </c>
      <c r="F114" s="367" t="s">
        <v>297</v>
      </c>
      <c r="G114" s="367" t="s">
        <v>1558</v>
      </c>
      <c r="H114" s="363">
        <v>36035797</v>
      </c>
      <c r="I114" s="368">
        <v>0</v>
      </c>
      <c r="J114" s="361" t="s">
        <v>2073</v>
      </c>
      <c r="K114" s="362" t="s">
        <v>46</v>
      </c>
      <c r="L114" s="367" t="s">
        <v>906</v>
      </c>
      <c r="M114" s="367" t="s">
        <v>654</v>
      </c>
    </row>
    <row r="115" spans="1:13" ht="50.25" customHeight="1" thickTop="1" thickBot="1" x14ac:dyDescent="0.3">
      <c r="A115" s="364" t="s">
        <v>1552</v>
      </c>
      <c r="B115" s="364" t="s">
        <v>1491</v>
      </c>
      <c r="C115" s="364" t="s">
        <v>842</v>
      </c>
      <c r="D115" s="367">
        <v>2</v>
      </c>
      <c r="E115" s="367">
        <v>30</v>
      </c>
      <c r="F115" s="367" t="s">
        <v>297</v>
      </c>
      <c r="G115" s="367" t="s">
        <v>1559</v>
      </c>
      <c r="H115" s="377">
        <v>375305010</v>
      </c>
      <c r="I115" s="376">
        <v>373656734</v>
      </c>
      <c r="J115" s="361" t="s">
        <v>1560</v>
      </c>
      <c r="K115" s="398" t="s">
        <v>16</v>
      </c>
      <c r="L115" s="367" t="s">
        <v>1561</v>
      </c>
      <c r="M115" s="367" t="s">
        <v>1561</v>
      </c>
    </row>
    <row r="116" spans="1:13" ht="16.5" thickTop="1" thickBot="1" x14ac:dyDescent="0.3">
      <c r="H116" s="327"/>
      <c r="I116" s="327"/>
    </row>
    <row r="117" spans="1:13" ht="30" customHeight="1" thickTop="1" thickBot="1" x14ac:dyDescent="0.3">
      <c r="A117" s="639" t="s">
        <v>0</v>
      </c>
      <c r="B117" s="639" t="s">
        <v>1</v>
      </c>
      <c r="C117" s="639" t="s">
        <v>2569</v>
      </c>
      <c r="D117" s="636" t="s">
        <v>1961</v>
      </c>
      <c r="E117" s="637"/>
      <c r="F117" s="637"/>
      <c r="G117" s="638"/>
      <c r="H117" s="636" t="s">
        <v>3</v>
      </c>
      <c r="I117" s="637"/>
      <c r="J117" s="636" t="s">
        <v>1962</v>
      </c>
      <c r="K117" s="637"/>
      <c r="L117" s="637"/>
      <c r="M117" s="638"/>
    </row>
    <row r="118" spans="1:13" ht="34.5" customHeight="1" thickTop="1" thickBot="1" x14ac:dyDescent="0.3">
      <c r="A118" s="661"/>
      <c r="B118" s="661"/>
      <c r="C118" s="661"/>
      <c r="D118" s="321" t="s">
        <v>4</v>
      </c>
      <c r="E118" s="321" t="s">
        <v>5</v>
      </c>
      <c r="F118" s="321" t="s">
        <v>6</v>
      </c>
      <c r="G118" s="321" t="s">
        <v>7</v>
      </c>
      <c r="H118" s="321" t="s">
        <v>2</v>
      </c>
      <c r="I118" s="321" t="s">
        <v>3</v>
      </c>
      <c r="J118" s="209" t="s">
        <v>8</v>
      </c>
      <c r="K118" s="317" t="s">
        <v>9</v>
      </c>
      <c r="L118" s="317" t="s">
        <v>1963</v>
      </c>
      <c r="M118" s="317" t="s">
        <v>1964</v>
      </c>
    </row>
    <row r="119" spans="1:13" ht="48" customHeight="1" thickTop="1" thickBot="1" x14ac:dyDescent="0.3">
      <c r="A119" s="371" t="s">
        <v>1562</v>
      </c>
      <c r="B119" s="366" t="s">
        <v>1491</v>
      </c>
      <c r="C119" s="366" t="s">
        <v>18</v>
      </c>
      <c r="D119" s="337">
        <v>2</v>
      </c>
      <c r="E119" s="337">
        <v>30</v>
      </c>
      <c r="F119" s="337">
        <v>3</v>
      </c>
      <c r="G119" s="337">
        <v>848</v>
      </c>
      <c r="H119" s="344">
        <v>1109658435.4000001</v>
      </c>
      <c r="I119" s="344">
        <f>247968000+615669120</f>
        <v>863637120</v>
      </c>
      <c r="J119" s="340" t="s">
        <v>1563</v>
      </c>
      <c r="K119" s="337" t="s">
        <v>20</v>
      </c>
      <c r="L119" s="343">
        <v>1040</v>
      </c>
      <c r="M119" s="343">
        <v>1040</v>
      </c>
    </row>
    <row r="120" spans="1:13" ht="37.5" customHeight="1" thickTop="1" thickBot="1" x14ac:dyDescent="0.3">
      <c r="A120" s="371" t="s">
        <v>1562</v>
      </c>
      <c r="B120" s="366" t="s">
        <v>1491</v>
      </c>
      <c r="C120" s="672" t="s">
        <v>842</v>
      </c>
      <c r="D120" s="337">
        <v>2</v>
      </c>
      <c r="E120" s="337">
        <v>30</v>
      </c>
      <c r="F120" s="337">
        <v>3</v>
      </c>
      <c r="G120" s="337">
        <v>520</v>
      </c>
      <c r="H120" s="344">
        <f>840000000+120000000+40000000</f>
        <v>1000000000</v>
      </c>
      <c r="I120" s="344">
        <f>347727322+174395541</f>
        <v>522122863</v>
      </c>
      <c r="J120" s="340" t="s">
        <v>2075</v>
      </c>
      <c r="K120" s="337" t="s">
        <v>55</v>
      </c>
      <c r="L120" s="343">
        <v>17</v>
      </c>
      <c r="M120" s="343">
        <v>7</v>
      </c>
    </row>
    <row r="121" spans="1:13" ht="30.75" customHeight="1" thickTop="1" thickBot="1" x14ac:dyDescent="0.3">
      <c r="A121" s="371" t="s">
        <v>1562</v>
      </c>
      <c r="B121" s="366" t="s">
        <v>1491</v>
      </c>
      <c r="C121" s="672"/>
      <c r="D121" s="337">
        <v>2</v>
      </c>
      <c r="E121" s="337">
        <v>30</v>
      </c>
      <c r="F121" s="337">
        <v>3</v>
      </c>
      <c r="G121" s="337">
        <v>520</v>
      </c>
      <c r="H121" s="344">
        <f>160000000+80000000+10000000+50000000</f>
        <v>300000000</v>
      </c>
      <c r="I121" s="344">
        <f>62222984+28440488</f>
        <v>90663472</v>
      </c>
      <c r="J121" s="340" t="s">
        <v>1564</v>
      </c>
      <c r="K121" s="337" t="s">
        <v>55</v>
      </c>
      <c r="L121" s="343">
        <v>6</v>
      </c>
      <c r="M121" s="343">
        <v>2</v>
      </c>
    </row>
    <row r="122" spans="1:13" ht="35.25" thickTop="1" thickBot="1" x14ac:dyDescent="0.3">
      <c r="A122" s="371" t="s">
        <v>1562</v>
      </c>
      <c r="B122" s="366" t="s">
        <v>1491</v>
      </c>
      <c r="C122" s="672"/>
      <c r="D122" s="337">
        <v>2</v>
      </c>
      <c r="E122" s="337">
        <v>30</v>
      </c>
      <c r="F122" s="337">
        <v>3</v>
      </c>
      <c r="G122" s="337">
        <v>520</v>
      </c>
      <c r="H122" s="344">
        <f>175000000+250000000+120000000+15000000</f>
        <v>560000000</v>
      </c>
      <c r="I122" s="344">
        <f>347539482+45314653</f>
        <v>392854135</v>
      </c>
      <c r="J122" s="340" t="s">
        <v>2041</v>
      </c>
      <c r="K122" s="337" t="s">
        <v>25</v>
      </c>
      <c r="L122" s="343">
        <v>10</v>
      </c>
      <c r="M122" s="343">
        <v>7</v>
      </c>
    </row>
    <row r="123" spans="1:13" ht="35.25" thickTop="1" thickBot="1" x14ac:dyDescent="0.3">
      <c r="A123" s="371" t="s">
        <v>1562</v>
      </c>
      <c r="B123" s="366" t="s">
        <v>1491</v>
      </c>
      <c r="C123" s="672"/>
      <c r="D123" s="337">
        <v>2</v>
      </c>
      <c r="E123" s="337">
        <v>30</v>
      </c>
      <c r="F123" s="337">
        <v>3</v>
      </c>
      <c r="G123" s="337">
        <v>520</v>
      </c>
      <c r="H123" s="344">
        <f>332548724-200000000+100000000+18025437</f>
        <v>250574161</v>
      </c>
      <c r="I123" s="344">
        <v>0</v>
      </c>
      <c r="J123" s="340" t="s">
        <v>2076</v>
      </c>
      <c r="K123" s="337" t="s">
        <v>1565</v>
      </c>
      <c r="L123" s="343">
        <v>7</v>
      </c>
      <c r="M123" s="343">
        <v>0</v>
      </c>
    </row>
    <row r="124" spans="1:13" ht="31.5" customHeight="1" thickTop="1" thickBot="1" x14ac:dyDescent="0.3">
      <c r="A124" s="371" t="s">
        <v>1562</v>
      </c>
      <c r="B124" s="366" t="s">
        <v>1491</v>
      </c>
      <c r="C124" s="672"/>
      <c r="D124" s="337">
        <v>2</v>
      </c>
      <c r="E124" s="337">
        <v>30</v>
      </c>
      <c r="F124" s="337">
        <v>3</v>
      </c>
      <c r="G124" s="337">
        <v>520</v>
      </c>
      <c r="H124" s="344">
        <f>300000000-300000000</f>
        <v>0</v>
      </c>
      <c r="I124" s="344">
        <v>0</v>
      </c>
      <c r="J124" s="340" t="s">
        <v>2042</v>
      </c>
      <c r="K124" s="337" t="s">
        <v>13</v>
      </c>
      <c r="L124" s="343">
        <v>1</v>
      </c>
      <c r="M124" s="343">
        <v>0</v>
      </c>
    </row>
    <row r="125" spans="1:13" ht="41.25" customHeight="1" thickTop="1" thickBot="1" x14ac:dyDescent="0.3">
      <c r="A125" s="371" t="s">
        <v>1562</v>
      </c>
      <c r="B125" s="366" t="s">
        <v>1491</v>
      </c>
      <c r="C125" s="364" t="s">
        <v>105</v>
      </c>
      <c r="D125" s="337">
        <v>2</v>
      </c>
      <c r="E125" s="337">
        <v>30</v>
      </c>
      <c r="F125" s="337">
        <v>3</v>
      </c>
      <c r="G125" s="337">
        <v>540</v>
      </c>
      <c r="H125" s="344">
        <f>250000000</f>
        <v>250000000</v>
      </c>
      <c r="I125" s="344">
        <v>137760000</v>
      </c>
      <c r="J125" s="350" t="s">
        <v>1566</v>
      </c>
      <c r="K125" s="337" t="s">
        <v>2082</v>
      </c>
      <c r="L125" s="343">
        <v>1463</v>
      </c>
      <c r="M125" s="343">
        <v>672</v>
      </c>
    </row>
    <row r="126" spans="1:13" ht="48.75" customHeight="1" thickTop="1" thickBot="1" x14ac:dyDescent="0.3">
      <c r="A126" s="371" t="s">
        <v>1562</v>
      </c>
      <c r="B126" s="366" t="s">
        <v>1491</v>
      </c>
      <c r="C126" s="364" t="s">
        <v>842</v>
      </c>
      <c r="D126" s="337">
        <v>2</v>
      </c>
      <c r="E126" s="337">
        <v>30</v>
      </c>
      <c r="F126" s="337">
        <v>3</v>
      </c>
      <c r="G126" s="337">
        <v>980</v>
      </c>
      <c r="H126" s="344">
        <v>228628854</v>
      </c>
      <c r="I126" s="344">
        <f>182374301+14289500</f>
        <v>196663801</v>
      </c>
      <c r="J126" s="340" t="s">
        <v>2043</v>
      </c>
      <c r="K126" s="337" t="s">
        <v>16</v>
      </c>
      <c r="L126" s="343">
        <v>5</v>
      </c>
      <c r="M126" s="343">
        <v>4</v>
      </c>
    </row>
    <row r="127" spans="1:13" ht="16.5" thickTop="1" thickBot="1" x14ac:dyDescent="0.3">
      <c r="H127" s="327"/>
      <c r="I127" s="327"/>
    </row>
    <row r="128" spans="1:13" ht="30" customHeight="1" thickTop="1" thickBot="1" x14ac:dyDescent="0.3">
      <c r="A128" s="639" t="s">
        <v>0</v>
      </c>
      <c r="B128" s="639" t="s">
        <v>1</v>
      </c>
      <c r="C128" s="639" t="s">
        <v>2569</v>
      </c>
      <c r="D128" s="636" t="s">
        <v>1961</v>
      </c>
      <c r="E128" s="637"/>
      <c r="F128" s="637"/>
      <c r="G128" s="638"/>
      <c r="H128" s="636" t="s">
        <v>3</v>
      </c>
      <c r="I128" s="637"/>
      <c r="J128" s="636" t="s">
        <v>1962</v>
      </c>
      <c r="K128" s="637"/>
      <c r="L128" s="637"/>
      <c r="M128" s="638"/>
    </row>
    <row r="129" spans="1:13" ht="34.5" customHeight="1" thickTop="1" thickBot="1" x14ac:dyDescent="0.3">
      <c r="A129" s="661"/>
      <c r="B129" s="661"/>
      <c r="C129" s="661"/>
      <c r="D129" s="321" t="s">
        <v>4</v>
      </c>
      <c r="E129" s="321" t="s">
        <v>5</v>
      </c>
      <c r="F129" s="321" t="s">
        <v>6</v>
      </c>
      <c r="G129" s="321" t="s">
        <v>7</v>
      </c>
      <c r="H129" s="321" t="s">
        <v>2</v>
      </c>
      <c r="I129" s="321" t="s">
        <v>3</v>
      </c>
      <c r="J129" s="209" t="s">
        <v>8</v>
      </c>
      <c r="K129" s="317" t="s">
        <v>9</v>
      </c>
      <c r="L129" s="317" t="s">
        <v>1963</v>
      </c>
      <c r="M129" s="317" t="s">
        <v>1964</v>
      </c>
    </row>
    <row r="130" spans="1:13" ht="57.75" thickTop="1" thickBot="1" x14ac:dyDescent="0.3">
      <c r="A130" s="366" t="s">
        <v>1567</v>
      </c>
      <c r="B130" s="366" t="s">
        <v>1491</v>
      </c>
      <c r="C130" s="366" t="s">
        <v>18</v>
      </c>
      <c r="D130" s="337">
        <v>2</v>
      </c>
      <c r="E130" s="337">
        <v>30</v>
      </c>
      <c r="F130" s="345">
        <v>3</v>
      </c>
      <c r="G130" s="337">
        <v>848</v>
      </c>
      <c r="H130" s="344">
        <v>593176831</v>
      </c>
      <c r="I130" s="346">
        <v>358207200</v>
      </c>
      <c r="J130" s="340" t="s">
        <v>2008</v>
      </c>
      <c r="K130" s="337" t="s">
        <v>20</v>
      </c>
      <c r="L130" s="347">
        <v>2500</v>
      </c>
      <c r="M130" s="347">
        <v>1500</v>
      </c>
    </row>
    <row r="131" spans="1:13" ht="33.75" customHeight="1" thickTop="1" thickBot="1" x14ac:dyDescent="0.3">
      <c r="A131" s="366" t="s">
        <v>1567</v>
      </c>
      <c r="B131" s="366" t="s">
        <v>1491</v>
      </c>
      <c r="C131" s="672" t="s">
        <v>53</v>
      </c>
      <c r="D131" s="337">
        <v>2</v>
      </c>
      <c r="E131" s="337">
        <v>30</v>
      </c>
      <c r="F131" s="345">
        <v>3</v>
      </c>
      <c r="G131" s="337">
        <v>520</v>
      </c>
      <c r="H131" s="346">
        <v>80000000</v>
      </c>
      <c r="I131" s="346">
        <v>0</v>
      </c>
      <c r="J131" s="340" t="s">
        <v>1568</v>
      </c>
      <c r="K131" s="337" t="s">
        <v>354</v>
      </c>
      <c r="L131" s="347">
        <v>7</v>
      </c>
      <c r="M131" s="337">
        <v>0</v>
      </c>
    </row>
    <row r="132" spans="1:13" ht="33.75" customHeight="1" thickTop="1" thickBot="1" x14ac:dyDescent="0.3">
      <c r="A132" s="366" t="s">
        <v>1567</v>
      </c>
      <c r="B132" s="366" t="s">
        <v>1491</v>
      </c>
      <c r="C132" s="672"/>
      <c r="D132" s="337">
        <v>2</v>
      </c>
      <c r="E132" s="337">
        <v>30</v>
      </c>
      <c r="F132" s="345">
        <v>3</v>
      </c>
      <c r="G132" s="337">
        <v>520</v>
      </c>
      <c r="H132" s="346">
        <v>80000000</v>
      </c>
      <c r="I132" s="346">
        <v>0</v>
      </c>
      <c r="J132" s="340" t="s">
        <v>1569</v>
      </c>
      <c r="K132" s="337" t="s">
        <v>55</v>
      </c>
      <c r="L132" s="347">
        <v>2</v>
      </c>
      <c r="M132" s="337">
        <v>0</v>
      </c>
    </row>
    <row r="133" spans="1:13" ht="44.25" customHeight="1" thickTop="1" thickBot="1" x14ac:dyDescent="0.3">
      <c r="A133" s="366" t="s">
        <v>1567</v>
      </c>
      <c r="B133" s="366" t="s">
        <v>1491</v>
      </c>
      <c r="C133" s="672"/>
      <c r="D133" s="337">
        <v>2</v>
      </c>
      <c r="E133" s="337">
        <v>30</v>
      </c>
      <c r="F133" s="345">
        <v>3</v>
      </c>
      <c r="G133" s="337">
        <v>520</v>
      </c>
      <c r="H133" s="344">
        <f>262982610+404296865</f>
        <v>667279475</v>
      </c>
      <c r="I133" s="346">
        <f>119310870+59671740+36095000</f>
        <v>215077610</v>
      </c>
      <c r="J133" s="340" t="s">
        <v>1570</v>
      </c>
      <c r="K133" s="337" t="s">
        <v>13</v>
      </c>
      <c r="L133" s="347">
        <v>2</v>
      </c>
      <c r="M133" s="337">
        <v>1.369</v>
      </c>
    </row>
    <row r="134" spans="1:13" ht="38.25" customHeight="1" thickTop="1" thickBot="1" x14ac:dyDescent="0.3">
      <c r="A134" s="366" t="s">
        <v>1567</v>
      </c>
      <c r="B134" s="366" t="s">
        <v>1491</v>
      </c>
      <c r="C134" s="672" t="s">
        <v>440</v>
      </c>
      <c r="D134" s="337">
        <v>2</v>
      </c>
      <c r="E134" s="337">
        <v>30</v>
      </c>
      <c r="F134" s="345">
        <v>3</v>
      </c>
      <c r="G134" s="337">
        <v>520</v>
      </c>
      <c r="H134" s="344">
        <v>85000000</v>
      </c>
      <c r="I134" s="346">
        <v>0</v>
      </c>
      <c r="J134" s="340" t="s">
        <v>2016</v>
      </c>
      <c r="K134" s="337" t="s">
        <v>276</v>
      </c>
      <c r="L134" s="347">
        <v>1</v>
      </c>
      <c r="M134" s="337">
        <v>0</v>
      </c>
    </row>
    <row r="135" spans="1:13" ht="38.25" customHeight="1" thickTop="1" thickBot="1" x14ac:dyDescent="0.3">
      <c r="A135" s="366" t="s">
        <v>1567</v>
      </c>
      <c r="B135" s="366" t="s">
        <v>1491</v>
      </c>
      <c r="C135" s="672"/>
      <c r="D135" s="337">
        <v>2</v>
      </c>
      <c r="E135" s="337">
        <v>30</v>
      </c>
      <c r="F135" s="345">
        <v>3</v>
      </c>
      <c r="G135" s="337">
        <v>520</v>
      </c>
      <c r="H135" s="344">
        <v>25000000</v>
      </c>
      <c r="I135" s="346">
        <v>0</v>
      </c>
      <c r="J135" s="340" t="s">
        <v>1571</v>
      </c>
      <c r="K135" s="337" t="s">
        <v>13</v>
      </c>
      <c r="L135" s="347">
        <v>1</v>
      </c>
      <c r="M135" s="337">
        <v>0</v>
      </c>
    </row>
    <row r="136" spans="1:13" ht="49.5" customHeight="1" thickTop="1" thickBot="1" x14ac:dyDescent="0.3">
      <c r="A136" s="366" t="s">
        <v>1567</v>
      </c>
      <c r="B136" s="366" t="s">
        <v>1491</v>
      </c>
      <c r="C136" s="672"/>
      <c r="D136" s="337">
        <v>2</v>
      </c>
      <c r="E136" s="337">
        <v>30</v>
      </c>
      <c r="F136" s="345">
        <v>3</v>
      </c>
      <c r="G136" s="337">
        <v>520</v>
      </c>
      <c r="H136" s="344">
        <f>150000000-28982610</f>
        <v>121017390</v>
      </c>
      <c r="I136" s="346">
        <v>0</v>
      </c>
      <c r="J136" s="340" t="s">
        <v>1572</v>
      </c>
      <c r="K136" s="351" t="s">
        <v>13</v>
      </c>
      <c r="L136" s="347">
        <v>1</v>
      </c>
      <c r="M136" s="337">
        <v>0</v>
      </c>
    </row>
    <row r="137" spans="1:13" ht="40.5" customHeight="1" thickTop="1" thickBot="1" x14ac:dyDescent="0.3">
      <c r="A137" s="366" t="s">
        <v>1567</v>
      </c>
      <c r="B137" s="366" t="s">
        <v>1491</v>
      </c>
      <c r="C137" s="672"/>
      <c r="D137" s="337">
        <v>2</v>
      </c>
      <c r="E137" s="337">
        <v>30</v>
      </c>
      <c r="F137" s="345">
        <v>3</v>
      </c>
      <c r="G137" s="337">
        <v>520</v>
      </c>
      <c r="H137" s="344">
        <v>50000000</v>
      </c>
      <c r="I137" s="344">
        <v>0</v>
      </c>
      <c r="J137" s="340" t="s">
        <v>1573</v>
      </c>
      <c r="K137" s="337" t="s">
        <v>25</v>
      </c>
      <c r="L137" s="347">
        <v>1</v>
      </c>
      <c r="M137" s="337">
        <v>0</v>
      </c>
    </row>
    <row r="138" spans="1:13" ht="40.5" customHeight="1" thickTop="1" thickBot="1" x14ac:dyDescent="0.3">
      <c r="A138" s="366" t="s">
        <v>1567</v>
      </c>
      <c r="B138" s="366" t="s">
        <v>1491</v>
      </c>
      <c r="C138" s="672"/>
      <c r="D138" s="337">
        <v>2</v>
      </c>
      <c r="E138" s="337">
        <v>30</v>
      </c>
      <c r="F138" s="345">
        <v>3</v>
      </c>
      <c r="G138" s="337">
        <v>520</v>
      </c>
      <c r="H138" s="344">
        <f>100000000+11102179+5768855</f>
        <v>116871034</v>
      </c>
      <c r="I138" s="344">
        <v>0</v>
      </c>
      <c r="J138" s="340" t="s">
        <v>1574</v>
      </c>
      <c r="K138" s="337" t="s">
        <v>13</v>
      </c>
      <c r="L138" s="347">
        <v>1</v>
      </c>
      <c r="M138" s="337">
        <v>0</v>
      </c>
    </row>
    <row r="139" spans="1:13" ht="40.5" customHeight="1" thickTop="1" thickBot="1" x14ac:dyDescent="0.3">
      <c r="A139" s="366" t="s">
        <v>1567</v>
      </c>
      <c r="B139" s="366" t="s">
        <v>1491</v>
      </c>
      <c r="C139" s="675" t="s">
        <v>105</v>
      </c>
      <c r="D139" s="337">
        <v>2</v>
      </c>
      <c r="E139" s="337">
        <v>30</v>
      </c>
      <c r="F139" s="345">
        <v>3</v>
      </c>
      <c r="G139" s="337">
        <v>540</v>
      </c>
      <c r="H139" s="344">
        <f>128963721-47780000</f>
        <v>81183721</v>
      </c>
      <c r="I139" s="344">
        <v>0</v>
      </c>
      <c r="J139" s="340" t="s">
        <v>1575</v>
      </c>
      <c r="K139" s="337" t="s">
        <v>2079</v>
      </c>
      <c r="L139" s="347">
        <v>600</v>
      </c>
      <c r="M139" s="337">
        <v>0</v>
      </c>
    </row>
    <row r="140" spans="1:13" ht="69" thickTop="1" thickBot="1" x14ac:dyDescent="0.3">
      <c r="A140" s="366" t="s">
        <v>1567</v>
      </c>
      <c r="B140" s="366" t="s">
        <v>1491</v>
      </c>
      <c r="C140" s="677"/>
      <c r="D140" s="337">
        <v>2</v>
      </c>
      <c r="E140" s="337">
        <v>30</v>
      </c>
      <c r="F140" s="345">
        <v>3</v>
      </c>
      <c r="G140" s="337">
        <v>540</v>
      </c>
      <c r="H140" s="344">
        <v>47780000</v>
      </c>
      <c r="I140" s="344">
        <v>47780000</v>
      </c>
      <c r="J140" s="340" t="s">
        <v>2003</v>
      </c>
      <c r="K140" s="337" t="s">
        <v>578</v>
      </c>
      <c r="L140" s="347">
        <v>54</v>
      </c>
      <c r="M140" s="337">
        <v>54</v>
      </c>
    </row>
    <row r="141" spans="1:13" ht="42.75" customHeight="1" thickTop="1" thickBot="1" x14ac:dyDescent="0.3">
      <c r="A141" s="366" t="s">
        <v>1567</v>
      </c>
      <c r="B141" s="366" t="s">
        <v>1491</v>
      </c>
      <c r="C141" s="366" t="s">
        <v>440</v>
      </c>
      <c r="D141" s="337">
        <v>2</v>
      </c>
      <c r="E141" s="337">
        <v>30</v>
      </c>
      <c r="F141" s="345">
        <v>3</v>
      </c>
      <c r="G141" s="337">
        <v>985</v>
      </c>
      <c r="H141" s="344">
        <v>185769393</v>
      </c>
      <c r="I141" s="344">
        <f>66058524+52107815+67002100</f>
        <v>185168439</v>
      </c>
      <c r="J141" s="340" t="s">
        <v>2077</v>
      </c>
      <c r="K141" s="337" t="s">
        <v>16</v>
      </c>
      <c r="L141" s="347">
        <v>4</v>
      </c>
      <c r="M141" s="337">
        <v>4</v>
      </c>
    </row>
    <row r="142" spans="1:13" ht="16.5" thickTop="1" thickBot="1" x14ac:dyDescent="0.3">
      <c r="H142" s="327"/>
      <c r="I142" s="327"/>
    </row>
    <row r="143" spans="1:13" ht="30" customHeight="1" thickTop="1" thickBot="1" x14ac:dyDescent="0.3">
      <c r="A143" s="639" t="s">
        <v>0</v>
      </c>
      <c r="B143" s="639" t="s">
        <v>1</v>
      </c>
      <c r="C143" s="639" t="s">
        <v>2569</v>
      </c>
      <c r="D143" s="636" t="s">
        <v>1961</v>
      </c>
      <c r="E143" s="637"/>
      <c r="F143" s="637"/>
      <c r="G143" s="638"/>
      <c r="H143" s="636" t="s">
        <v>3</v>
      </c>
      <c r="I143" s="637"/>
      <c r="J143" s="636" t="s">
        <v>1962</v>
      </c>
      <c r="K143" s="637"/>
      <c r="L143" s="637"/>
      <c r="M143" s="638"/>
    </row>
    <row r="144" spans="1:13" ht="34.5" customHeight="1" thickTop="1" thickBot="1" x14ac:dyDescent="0.3">
      <c r="A144" s="661"/>
      <c r="B144" s="661"/>
      <c r="C144" s="687"/>
      <c r="D144" s="321" t="s">
        <v>4</v>
      </c>
      <c r="E144" s="321" t="s">
        <v>5</v>
      </c>
      <c r="F144" s="321" t="s">
        <v>6</v>
      </c>
      <c r="G144" s="321" t="s">
        <v>7</v>
      </c>
      <c r="H144" s="321" t="s">
        <v>2</v>
      </c>
      <c r="I144" s="321" t="s">
        <v>3</v>
      </c>
      <c r="J144" s="209" t="s">
        <v>8</v>
      </c>
      <c r="K144" s="317" t="s">
        <v>9</v>
      </c>
      <c r="L144" s="317" t="s">
        <v>1963</v>
      </c>
      <c r="M144" s="317" t="s">
        <v>1964</v>
      </c>
    </row>
    <row r="145" spans="1:13" ht="35.25" thickTop="1" thickBot="1" x14ac:dyDescent="0.3">
      <c r="A145" s="366" t="s">
        <v>1576</v>
      </c>
      <c r="B145" s="366" t="s">
        <v>1491</v>
      </c>
      <c r="C145" s="366" t="s">
        <v>18</v>
      </c>
      <c r="D145" s="335">
        <v>2</v>
      </c>
      <c r="E145" s="335">
        <v>30</v>
      </c>
      <c r="F145" s="345">
        <v>3</v>
      </c>
      <c r="G145" s="345">
        <v>848</v>
      </c>
      <c r="H145" s="346">
        <f>708135778+190936163</f>
        <v>899071941</v>
      </c>
      <c r="I145" s="346">
        <f>54782000+476603400</f>
        <v>531385400</v>
      </c>
      <c r="J145" s="350" t="s">
        <v>2078</v>
      </c>
      <c r="K145" s="337" t="s">
        <v>20</v>
      </c>
      <c r="L145" s="345">
        <v>1239</v>
      </c>
      <c r="M145" s="345">
        <v>730</v>
      </c>
    </row>
    <row r="146" spans="1:13" ht="41.25" customHeight="1" thickTop="1" thickBot="1" x14ac:dyDescent="0.3">
      <c r="A146" s="366" t="s">
        <v>1576</v>
      </c>
      <c r="B146" s="366" t="s">
        <v>1491</v>
      </c>
      <c r="C146" s="675" t="s">
        <v>53</v>
      </c>
      <c r="D146" s="335">
        <v>2</v>
      </c>
      <c r="E146" s="335">
        <v>30</v>
      </c>
      <c r="F146" s="345">
        <v>3</v>
      </c>
      <c r="G146" s="345">
        <v>520</v>
      </c>
      <c r="H146" s="336">
        <f>270000000+50000000</f>
        <v>320000000</v>
      </c>
      <c r="I146" s="346">
        <f>153280400</f>
        <v>153280400</v>
      </c>
      <c r="J146" s="350" t="s">
        <v>1577</v>
      </c>
      <c r="K146" s="337" t="s">
        <v>55</v>
      </c>
      <c r="L146" s="345">
        <v>3</v>
      </c>
      <c r="M146" s="355">
        <v>1</v>
      </c>
    </row>
    <row r="147" spans="1:13" ht="42" customHeight="1" thickTop="1" thickBot="1" x14ac:dyDescent="0.3">
      <c r="A147" s="366" t="s">
        <v>1576</v>
      </c>
      <c r="B147" s="366" t="s">
        <v>1491</v>
      </c>
      <c r="C147" s="676"/>
      <c r="D147" s="335">
        <v>2</v>
      </c>
      <c r="E147" s="335">
        <v>30</v>
      </c>
      <c r="F147" s="345">
        <v>3</v>
      </c>
      <c r="G147" s="345">
        <v>520</v>
      </c>
      <c r="H147" s="336">
        <f>70000000+2839083+200000000</f>
        <v>272839083</v>
      </c>
      <c r="I147" s="346">
        <v>0</v>
      </c>
      <c r="J147" s="350" t="s">
        <v>1578</v>
      </c>
      <c r="K147" s="337" t="s">
        <v>81</v>
      </c>
      <c r="L147" s="345">
        <v>1</v>
      </c>
      <c r="M147" s="355">
        <v>0</v>
      </c>
    </row>
    <row r="148" spans="1:13" ht="46.5" thickTop="1" thickBot="1" x14ac:dyDescent="0.3">
      <c r="A148" s="366" t="s">
        <v>1576</v>
      </c>
      <c r="B148" s="366" t="s">
        <v>1491</v>
      </c>
      <c r="C148" s="677"/>
      <c r="D148" s="335">
        <v>2</v>
      </c>
      <c r="E148" s="335">
        <v>30</v>
      </c>
      <c r="F148" s="345">
        <v>3</v>
      </c>
      <c r="G148" s="345">
        <v>520</v>
      </c>
      <c r="H148" s="336">
        <f>70000000+150000000</f>
        <v>220000000</v>
      </c>
      <c r="I148" s="346">
        <v>0</v>
      </c>
      <c r="J148" s="350" t="s">
        <v>1579</v>
      </c>
      <c r="K148" s="337" t="s">
        <v>103</v>
      </c>
      <c r="L148" s="345">
        <v>4</v>
      </c>
      <c r="M148" s="355">
        <v>0</v>
      </c>
    </row>
    <row r="149" spans="1:13" ht="37.5" customHeight="1" thickTop="1" thickBot="1" x14ac:dyDescent="0.3">
      <c r="A149" s="366" t="s">
        <v>1576</v>
      </c>
      <c r="B149" s="366" t="s">
        <v>1491</v>
      </c>
      <c r="C149" s="675" t="s">
        <v>440</v>
      </c>
      <c r="D149" s="335">
        <v>2</v>
      </c>
      <c r="E149" s="335">
        <v>30</v>
      </c>
      <c r="F149" s="345">
        <v>3</v>
      </c>
      <c r="G149" s="345">
        <v>520</v>
      </c>
      <c r="H149" s="346">
        <v>27400000</v>
      </c>
      <c r="I149" s="346">
        <v>27400000</v>
      </c>
      <c r="J149" s="350" t="s">
        <v>1580</v>
      </c>
      <c r="K149" s="337" t="s">
        <v>174</v>
      </c>
      <c r="L149" s="345">
        <v>1</v>
      </c>
      <c r="M149" s="355">
        <v>1</v>
      </c>
    </row>
    <row r="150" spans="1:13" ht="46.5" thickTop="1" thickBot="1" x14ac:dyDescent="0.3">
      <c r="A150" s="366" t="s">
        <v>1576</v>
      </c>
      <c r="B150" s="366" t="s">
        <v>1491</v>
      </c>
      <c r="C150" s="676"/>
      <c r="D150" s="335">
        <v>2</v>
      </c>
      <c r="E150" s="335">
        <v>30</v>
      </c>
      <c r="F150" s="345">
        <v>3</v>
      </c>
      <c r="G150" s="345">
        <v>520</v>
      </c>
      <c r="H150" s="346">
        <v>91956000</v>
      </c>
      <c r="I150" s="346">
        <v>91956000</v>
      </c>
      <c r="J150" s="350" t="s">
        <v>1581</v>
      </c>
      <c r="K150" s="337" t="s">
        <v>81</v>
      </c>
      <c r="L150" s="345">
        <v>2</v>
      </c>
      <c r="M150" s="355">
        <v>2</v>
      </c>
    </row>
    <row r="151" spans="1:13" ht="32.25" customHeight="1" thickTop="1" thickBot="1" x14ac:dyDescent="0.3">
      <c r="A151" s="366" t="s">
        <v>1576</v>
      </c>
      <c r="B151" s="366" t="s">
        <v>1491</v>
      </c>
      <c r="C151" s="676"/>
      <c r="D151" s="335">
        <v>2</v>
      </c>
      <c r="E151" s="335">
        <v>30</v>
      </c>
      <c r="F151" s="345">
        <v>3</v>
      </c>
      <c r="G151" s="345">
        <v>520</v>
      </c>
      <c r="H151" s="346">
        <f>290000000+50000000+95770541</f>
        <v>435770541</v>
      </c>
      <c r="I151" s="346">
        <v>0</v>
      </c>
      <c r="J151" s="350" t="s">
        <v>1582</v>
      </c>
      <c r="K151" s="337" t="s">
        <v>81</v>
      </c>
      <c r="L151" s="345">
        <v>12</v>
      </c>
      <c r="M151" s="355">
        <v>0</v>
      </c>
    </row>
    <row r="152" spans="1:13" ht="49.5" customHeight="1" thickTop="1" thickBot="1" x14ac:dyDescent="0.3">
      <c r="A152" s="366" t="s">
        <v>1576</v>
      </c>
      <c r="B152" s="366" t="s">
        <v>1491</v>
      </c>
      <c r="C152" s="677"/>
      <c r="D152" s="335">
        <v>2</v>
      </c>
      <c r="E152" s="335">
        <v>30</v>
      </c>
      <c r="F152" s="345">
        <v>3</v>
      </c>
      <c r="G152" s="345">
        <v>520</v>
      </c>
      <c r="H152" s="346">
        <f>205000000+241525350+45517714</f>
        <v>492043064</v>
      </c>
      <c r="I152" s="346">
        <f>60698000+86308700</f>
        <v>147006700</v>
      </c>
      <c r="J152" s="350" t="s">
        <v>1583</v>
      </c>
      <c r="K152" s="337" t="s">
        <v>11</v>
      </c>
      <c r="L152" s="345">
        <v>3000</v>
      </c>
      <c r="M152" s="355">
        <v>890</v>
      </c>
    </row>
    <row r="153" spans="1:13" ht="39.75" customHeight="1" thickTop="1" thickBot="1" x14ac:dyDescent="0.3">
      <c r="A153" s="366" t="s">
        <v>1576</v>
      </c>
      <c r="B153" s="366" t="s">
        <v>1491</v>
      </c>
      <c r="C153" s="366" t="s">
        <v>105</v>
      </c>
      <c r="D153" s="335">
        <v>2</v>
      </c>
      <c r="E153" s="335">
        <v>30</v>
      </c>
      <c r="F153" s="345">
        <v>3</v>
      </c>
      <c r="G153" s="345">
        <v>540</v>
      </c>
      <c r="H153" s="346">
        <f>50000000+10300000</f>
        <v>60300000</v>
      </c>
      <c r="I153" s="346">
        <v>60300000</v>
      </c>
      <c r="J153" s="350" t="s">
        <v>1584</v>
      </c>
      <c r="K153" s="337" t="s">
        <v>180</v>
      </c>
      <c r="L153" s="345">
        <v>12</v>
      </c>
      <c r="M153" s="355">
        <v>12</v>
      </c>
    </row>
    <row r="154" spans="1:13" ht="39.75" customHeight="1" thickTop="1" thickBot="1" x14ac:dyDescent="0.3">
      <c r="A154" s="366" t="s">
        <v>1576</v>
      </c>
      <c r="B154" s="366" t="s">
        <v>1491</v>
      </c>
      <c r="C154" s="366" t="s">
        <v>440</v>
      </c>
      <c r="D154" s="335">
        <v>2</v>
      </c>
      <c r="E154" s="335">
        <v>30</v>
      </c>
      <c r="F154" s="345">
        <v>3</v>
      </c>
      <c r="G154" s="345">
        <v>985</v>
      </c>
      <c r="H154" s="346">
        <f>60000000-10300000</f>
        <v>49700000</v>
      </c>
      <c r="I154" s="346">
        <v>47491990</v>
      </c>
      <c r="J154" s="350" t="s">
        <v>2024</v>
      </c>
      <c r="K154" s="337" t="s">
        <v>16</v>
      </c>
      <c r="L154" s="345">
        <v>2</v>
      </c>
      <c r="M154" s="355">
        <v>2</v>
      </c>
    </row>
    <row r="155" spans="1:13" ht="16.5" thickTop="1" thickBot="1" x14ac:dyDescent="0.3">
      <c r="H155" s="327"/>
      <c r="I155" s="327"/>
    </row>
    <row r="156" spans="1:13" ht="30" customHeight="1" thickTop="1" thickBot="1" x14ac:dyDescent="0.3">
      <c r="A156" s="639" t="s">
        <v>0</v>
      </c>
      <c r="B156" s="639" t="s">
        <v>1</v>
      </c>
      <c r="C156" s="639" t="s">
        <v>2569</v>
      </c>
      <c r="D156" s="636" t="s">
        <v>1961</v>
      </c>
      <c r="E156" s="637"/>
      <c r="F156" s="637"/>
      <c r="G156" s="638"/>
      <c r="H156" s="636" t="s">
        <v>3</v>
      </c>
      <c r="I156" s="637"/>
      <c r="J156" s="636" t="s">
        <v>1962</v>
      </c>
      <c r="K156" s="637"/>
      <c r="L156" s="637"/>
      <c r="M156" s="638"/>
    </row>
    <row r="157" spans="1:13" ht="34.5" customHeight="1" thickTop="1" thickBot="1" x14ac:dyDescent="0.3">
      <c r="A157" s="661"/>
      <c r="B157" s="661"/>
      <c r="C157" s="661"/>
      <c r="D157" s="321" t="s">
        <v>4</v>
      </c>
      <c r="E157" s="321" t="s">
        <v>5</v>
      </c>
      <c r="F157" s="321" t="s">
        <v>6</v>
      </c>
      <c r="G157" s="321" t="s">
        <v>7</v>
      </c>
      <c r="H157" s="321" t="s">
        <v>2</v>
      </c>
      <c r="I157" s="321" t="s">
        <v>3</v>
      </c>
      <c r="J157" s="209" t="s">
        <v>8</v>
      </c>
      <c r="K157" s="317" t="s">
        <v>9</v>
      </c>
      <c r="L157" s="317" t="s">
        <v>1963</v>
      </c>
      <c r="M157" s="317" t="s">
        <v>1964</v>
      </c>
    </row>
    <row r="158" spans="1:13" ht="46.5" thickTop="1" thickBot="1" x14ac:dyDescent="0.3">
      <c r="A158" s="366" t="s">
        <v>2463</v>
      </c>
      <c r="B158" s="366" t="s">
        <v>1491</v>
      </c>
      <c r="C158" s="366" t="s">
        <v>18</v>
      </c>
      <c r="D158" s="335">
        <v>3</v>
      </c>
      <c r="E158" s="335">
        <v>30</v>
      </c>
      <c r="F158" s="335">
        <v>3</v>
      </c>
      <c r="G158" s="335">
        <v>848</v>
      </c>
      <c r="H158" s="344">
        <v>620018795</v>
      </c>
      <c r="I158" s="344">
        <v>324269689</v>
      </c>
      <c r="J158" s="340" t="s">
        <v>2009</v>
      </c>
      <c r="K158" s="337" t="s">
        <v>20</v>
      </c>
      <c r="L158" s="343">
        <v>380</v>
      </c>
      <c r="M158" s="343">
        <v>199</v>
      </c>
    </row>
    <row r="159" spans="1:13" ht="36" customHeight="1" thickTop="1" thickBot="1" x14ac:dyDescent="0.3">
      <c r="A159" s="619" t="s">
        <v>2463</v>
      </c>
      <c r="B159" s="366" t="s">
        <v>1491</v>
      </c>
      <c r="C159" s="672" t="s">
        <v>53</v>
      </c>
      <c r="D159" s="335">
        <v>2</v>
      </c>
      <c r="E159" s="335">
        <v>30</v>
      </c>
      <c r="F159" s="335">
        <v>3</v>
      </c>
      <c r="G159" s="335">
        <v>520</v>
      </c>
      <c r="H159" s="344">
        <v>350000000</v>
      </c>
      <c r="I159" s="344">
        <v>163498328</v>
      </c>
      <c r="J159" s="340" t="s">
        <v>1585</v>
      </c>
      <c r="K159" s="337" t="s">
        <v>55</v>
      </c>
      <c r="L159" s="343">
        <v>2</v>
      </c>
      <c r="M159" s="343">
        <v>1</v>
      </c>
    </row>
    <row r="160" spans="1:13" ht="36" customHeight="1" thickTop="1" thickBot="1" x14ac:dyDescent="0.3">
      <c r="A160" s="619" t="s">
        <v>2463</v>
      </c>
      <c r="B160" s="366" t="s">
        <v>1491</v>
      </c>
      <c r="C160" s="672"/>
      <c r="D160" s="335">
        <v>2</v>
      </c>
      <c r="E160" s="335">
        <v>30</v>
      </c>
      <c r="F160" s="335">
        <v>3</v>
      </c>
      <c r="G160" s="335">
        <v>520</v>
      </c>
      <c r="H160" s="344">
        <v>315000000</v>
      </c>
      <c r="I160" s="344">
        <v>0</v>
      </c>
      <c r="J160" s="340" t="s">
        <v>1586</v>
      </c>
      <c r="K160" s="337" t="s">
        <v>55</v>
      </c>
      <c r="L160" s="343">
        <v>4</v>
      </c>
      <c r="M160" s="343">
        <v>0</v>
      </c>
    </row>
    <row r="161" spans="1:13" ht="33.75" customHeight="1" thickTop="1" thickBot="1" x14ac:dyDescent="0.3">
      <c r="A161" s="619" t="s">
        <v>2463</v>
      </c>
      <c r="B161" s="366" t="s">
        <v>1491</v>
      </c>
      <c r="C161" s="672"/>
      <c r="D161" s="335">
        <v>2</v>
      </c>
      <c r="E161" s="335">
        <v>30</v>
      </c>
      <c r="F161" s="335">
        <v>3</v>
      </c>
      <c r="G161" s="335">
        <v>520</v>
      </c>
      <c r="H161" s="344">
        <f>50000000+150324887-500000</f>
        <v>199824887</v>
      </c>
      <c r="I161" s="344">
        <v>156000000</v>
      </c>
      <c r="J161" s="340" t="s">
        <v>1587</v>
      </c>
      <c r="K161" s="337" t="s">
        <v>25</v>
      </c>
      <c r="L161" s="343">
        <v>5</v>
      </c>
      <c r="M161" s="343">
        <v>4</v>
      </c>
    </row>
    <row r="162" spans="1:13" ht="33.75" customHeight="1" thickTop="1" thickBot="1" x14ac:dyDescent="0.3">
      <c r="A162" s="619" t="s">
        <v>2463</v>
      </c>
      <c r="B162" s="366" t="s">
        <v>1491</v>
      </c>
      <c r="C162" s="672"/>
      <c r="D162" s="335">
        <v>2</v>
      </c>
      <c r="E162" s="335">
        <v>30</v>
      </c>
      <c r="F162" s="335">
        <v>3</v>
      </c>
      <c r="G162" s="335">
        <v>520</v>
      </c>
      <c r="H162" s="344">
        <v>183608786</v>
      </c>
      <c r="I162" s="344">
        <f>6935291+94242402+2833277</f>
        <v>104010970</v>
      </c>
      <c r="J162" s="340" t="s">
        <v>1588</v>
      </c>
      <c r="K162" s="337" t="s">
        <v>410</v>
      </c>
      <c r="L162" s="343">
        <v>2</v>
      </c>
      <c r="M162" s="343">
        <v>1</v>
      </c>
    </row>
    <row r="163" spans="1:13" ht="33.75" customHeight="1" thickTop="1" thickBot="1" x14ac:dyDescent="0.3">
      <c r="A163" s="619" t="s">
        <v>2463</v>
      </c>
      <c r="B163" s="366" t="s">
        <v>1491</v>
      </c>
      <c r="C163" s="672" t="s">
        <v>440</v>
      </c>
      <c r="D163" s="335">
        <v>2</v>
      </c>
      <c r="E163" s="335">
        <v>30</v>
      </c>
      <c r="F163" s="335">
        <v>3</v>
      </c>
      <c r="G163" s="335">
        <v>520</v>
      </c>
      <c r="H163" s="344">
        <f>85000000+99443514</f>
        <v>184443514</v>
      </c>
      <c r="I163" s="344">
        <v>21343240</v>
      </c>
      <c r="J163" s="340" t="s">
        <v>1589</v>
      </c>
      <c r="K163" s="337" t="s">
        <v>14</v>
      </c>
      <c r="L163" s="343">
        <v>8</v>
      </c>
      <c r="M163" s="343">
        <v>1</v>
      </c>
    </row>
    <row r="164" spans="1:13" ht="33.75" customHeight="1" thickTop="1" thickBot="1" x14ac:dyDescent="0.3">
      <c r="A164" s="619" t="s">
        <v>2463</v>
      </c>
      <c r="B164" s="366" t="s">
        <v>1491</v>
      </c>
      <c r="C164" s="672"/>
      <c r="D164" s="335">
        <v>2</v>
      </c>
      <c r="E164" s="335">
        <v>30</v>
      </c>
      <c r="F164" s="335">
        <v>3</v>
      </c>
      <c r="G164" s="335">
        <v>520</v>
      </c>
      <c r="H164" s="344">
        <v>115000000</v>
      </c>
      <c r="I164" s="344">
        <v>0</v>
      </c>
      <c r="J164" s="340" t="s">
        <v>1590</v>
      </c>
      <c r="K164" s="337" t="s">
        <v>11</v>
      </c>
      <c r="L164" s="343">
        <v>2400</v>
      </c>
      <c r="M164" s="343">
        <v>0</v>
      </c>
    </row>
    <row r="165" spans="1:13" ht="33.75" customHeight="1" thickTop="1" thickBot="1" x14ac:dyDescent="0.3">
      <c r="A165" s="619" t="s">
        <v>2463</v>
      </c>
      <c r="B165" s="366" t="s">
        <v>1491</v>
      </c>
      <c r="C165" s="672" t="s">
        <v>105</v>
      </c>
      <c r="D165" s="672">
        <v>2</v>
      </c>
      <c r="E165" s="672">
        <v>30</v>
      </c>
      <c r="F165" s="672">
        <v>3</v>
      </c>
      <c r="G165" s="672">
        <v>540</v>
      </c>
      <c r="H165" s="686">
        <v>100000000</v>
      </c>
      <c r="I165" s="686">
        <v>95230000</v>
      </c>
      <c r="J165" s="340" t="s">
        <v>2044</v>
      </c>
      <c r="K165" s="360" t="s">
        <v>383</v>
      </c>
      <c r="L165" s="343">
        <v>10</v>
      </c>
      <c r="M165" s="343">
        <v>10</v>
      </c>
    </row>
    <row r="166" spans="1:13" ht="33.75" customHeight="1" thickTop="1" thickBot="1" x14ac:dyDescent="0.3">
      <c r="A166" s="619" t="s">
        <v>2463</v>
      </c>
      <c r="B166" s="366" t="s">
        <v>1491</v>
      </c>
      <c r="C166" s="672"/>
      <c r="D166" s="672"/>
      <c r="E166" s="672"/>
      <c r="F166" s="672"/>
      <c r="G166" s="672"/>
      <c r="H166" s="686"/>
      <c r="I166" s="686"/>
      <c r="J166" s="340" t="s">
        <v>2045</v>
      </c>
      <c r="K166" s="337" t="s">
        <v>66</v>
      </c>
      <c r="L166" s="343">
        <v>20</v>
      </c>
      <c r="M166" s="343">
        <v>20</v>
      </c>
    </row>
    <row r="167" spans="1:13" ht="16.5" thickTop="1" thickBot="1" x14ac:dyDescent="0.3">
      <c r="H167" s="327"/>
      <c r="I167" s="327"/>
    </row>
    <row r="168" spans="1:13" ht="30" customHeight="1" thickTop="1" thickBot="1" x14ac:dyDescent="0.3">
      <c r="A168" s="639" t="s">
        <v>0</v>
      </c>
      <c r="B168" s="639" t="s">
        <v>1</v>
      </c>
      <c r="C168" s="639" t="s">
        <v>2569</v>
      </c>
      <c r="D168" s="636" t="s">
        <v>1961</v>
      </c>
      <c r="E168" s="637"/>
      <c r="F168" s="637"/>
      <c r="G168" s="638"/>
      <c r="H168" s="636" t="s">
        <v>3</v>
      </c>
      <c r="I168" s="637"/>
      <c r="J168" s="636" t="s">
        <v>1962</v>
      </c>
      <c r="K168" s="637"/>
      <c r="L168" s="637"/>
      <c r="M168" s="638"/>
    </row>
    <row r="169" spans="1:13" ht="34.5" customHeight="1" thickTop="1" thickBot="1" x14ac:dyDescent="0.3">
      <c r="A169" s="661"/>
      <c r="B169" s="661"/>
      <c r="C169" s="661"/>
      <c r="D169" s="321" t="s">
        <v>4</v>
      </c>
      <c r="E169" s="321" t="s">
        <v>5</v>
      </c>
      <c r="F169" s="321" t="s">
        <v>6</v>
      </c>
      <c r="G169" s="321" t="s">
        <v>7</v>
      </c>
      <c r="H169" s="321" t="s">
        <v>2</v>
      </c>
      <c r="I169" s="321" t="s">
        <v>3</v>
      </c>
      <c r="J169" s="209" t="s">
        <v>8</v>
      </c>
      <c r="K169" s="317" t="s">
        <v>9</v>
      </c>
      <c r="L169" s="317" t="s">
        <v>1963</v>
      </c>
      <c r="M169" s="317" t="s">
        <v>1964</v>
      </c>
    </row>
    <row r="170" spans="1:13" ht="40.5" customHeight="1" thickTop="1" thickBot="1" x14ac:dyDescent="0.3">
      <c r="A170" s="366" t="s">
        <v>1591</v>
      </c>
      <c r="B170" s="366" t="s">
        <v>1491</v>
      </c>
      <c r="C170" s="366" t="s">
        <v>18</v>
      </c>
      <c r="D170" s="335">
        <v>2</v>
      </c>
      <c r="E170" s="335">
        <v>30</v>
      </c>
      <c r="F170" s="353" t="s">
        <v>297</v>
      </c>
      <c r="G170" s="353" t="s">
        <v>1592</v>
      </c>
      <c r="H170" s="346">
        <v>720218074</v>
      </c>
      <c r="I170" s="346">
        <v>0</v>
      </c>
      <c r="J170" s="340" t="s">
        <v>1593</v>
      </c>
      <c r="K170" s="337" t="s">
        <v>20</v>
      </c>
      <c r="L170" s="345">
        <v>764</v>
      </c>
      <c r="M170" s="359">
        <v>0</v>
      </c>
    </row>
    <row r="171" spans="1:13" ht="33.75" customHeight="1" thickTop="1" thickBot="1" x14ac:dyDescent="0.3">
      <c r="A171" s="366" t="s">
        <v>1591</v>
      </c>
      <c r="B171" s="366" t="s">
        <v>1491</v>
      </c>
      <c r="C171" s="366" t="s">
        <v>105</v>
      </c>
      <c r="D171" s="335">
        <v>1</v>
      </c>
      <c r="E171" s="335">
        <v>30</v>
      </c>
      <c r="F171" s="345">
        <v>3</v>
      </c>
      <c r="G171" s="345">
        <v>540</v>
      </c>
      <c r="H171" s="346">
        <v>110000000</v>
      </c>
      <c r="I171" s="346">
        <v>0</v>
      </c>
      <c r="J171" s="340" t="s">
        <v>1594</v>
      </c>
      <c r="K171" s="337" t="s">
        <v>180</v>
      </c>
      <c r="L171" s="345">
        <v>13</v>
      </c>
      <c r="M171" s="345">
        <v>0</v>
      </c>
    </row>
    <row r="172" spans="1:13" ht="38.25" customHeight="1" thickTop="1" thickBot="1" x14ac:dyDescent="0.3">
      <c r="A172" s="366" t="s">
        <v>1591</v>
      </c>
      <c r="B172" s="366" t="s">
        <v>1491</v>
      </c>
      <c r="C172" s="672" t="s">
        <v>53</v>
      </c>
      <c r="D172" s="335">
        <v>3</v>
      </c>
      <c r="E172" s="335">
        <v>30</v>
      </c>
      <c r="F172" s="345">
        <v>3</v>
      </c>
      <c r="G172" s="345">
        <v>521</v>
      </c>
      <c r="H172" s="346">
        <v>121779060</v>
      </c>
      <c r="I172" s="346">
        <v>121779060</v>
      </c>
      <c r="J172" s="350" t="s">
        <v>1595</v>
      </c>
      <c r="K172" s="337" t="s">
        <v>55</v>
      </c>
      <c r="L172" s="345">
        <v>2</v>
      </c>
      <c r="M172" s="345">
        <v>2</v>
      </c>
    </row>
    <row r="173" spans="1:13" ht="38.25" customHeight="1" thickTop="1" thickBot="1" x14ac:dyDescent="0.3">
      <c r="A173" s="366" t="s">
        <v>1591</v>
      </c>
      <c r="B173" s="366" t="s">
        <v>1491</v>
      </c>
      <c r="C173" s="672"/>
      <c r="D173" s="335">
        <v>3</v>
      </c>
      <c r="E173" s="335">
        <v>30</v>
      </c>
      <c r="F173" s="345">
        <v>3</v>
      </c>
      <c r="G173" s="345">
        <v>521</v>
      </c>
      <c r="H173" s="346">
        <v>98910146</v>
      </c>
      <c r="I173" s="346">
        <v>98910146</v>
      </c>
      <c r="J173" s="350" t="s">
        <v>1596</v>
      </c>
      <c r="K173" s="337" t="s">
        <v>28</v>
      </c>
      <c r="L173" s="345">
        <v>1</v>
      </c>
      <c r="M173" s="345">
        <v>1</v>
      </c>
    </row>
    <row r="174" spans="1:13" ht="53.25" customHeight="1" thickTop="1" thickBot="1" x14ac:dyDescent="0.3">
      <c r="A174" s="366" t="s">
        <v>1591</v>
      </c>
      <c r="B174" s="366" t="s">
        <v>1491</v>
      </c>
      <c r="C174" s="672"/>
      <c r="D174" s="335">
        <v>3</v>
      </c>
      <c r="E174" s="335">
        <v>30</v>
      </c>
      <c r="F174" s="345">
        <v>3</v>
      </c>
      <c r="G174" s="345">
        <v>521</v>
      </c>
      <c r="H174" s="346">
        <v>1235502170</v>
      </c>
      <c r="I174" s="346">
        <v>124897950</v>
      </c>
      <c r="J174" s="350" t="s">
        <v>1597</v>
      </c>
      <c r="K174" s="337" t="s">
        <v>13</v>
      </c>
      <c r="L174" s="345">
        <v>2</v>
      </c>
      <c r="M174" s="345">
        <v>0</v>
      </c>
    </row>
    <row r="175" spans="1:13" ht="57.75" thickTop="1" thickBot="1" x14ac:dyDescent="0.3">
      <c r="A175" s="366" t="s">
        <v>1591</v>
      </c>
      <c r="B175" s="366" t="s">
        <v>1491</v>
      </c>
      <c r="C175" s="366" t="s">
        <v>173</v>
      </c>
      <c r="D175" s="335">
        <v>3</v>
      </c>
      <c r="E175" s="335">
        <v>30</v>
      </c>
      <c r="F175" s="353">
        <v>3</v>
      </c>
      <c r="G175" s="353">
        <v>580</v>
      </c>
      <c r="H175" s="346">
        <v>70000000</v>
      </c>
      <c r="I175" s="346">
        <v>37377947</v>
      </c>
      <c r="J175" s="350" t="s">
        <v>1598</v>
      </c>
      <c r="K175" s="337" t="s">
        <v>72</v>
      </c>
      <c r="L175" s="345">
        <v>4</v>
      </c>
      <c r="M175" s="345">
        <v>3</v>
      </c>
    </row>
    <row r="176" spans="1:13" ht="48.75" customHeight="1" thickTop="1" thickBot="1" x14ac:dyDescent="0.3">
      <c r="A176" s="366" t="s">
        <v>1591</v>
      </c>
      <c r="B176" s="366" t="s">
        <v>1491</v>
      </c>
      <c r="C176" s="366" t="s">
        <v>53</v>
      </c>
      <c r="D176" s="335">
        <v>3</v>
      </c>
      <c r="E176" s="335">
        <v>30</v>
      </c>
      <c r="F176" s="345">
        <v>3</v>
      </c>
      <c r="G176" s="345">
        <v>985</v>
      </c>
      <c r="H176" s="346">
        <v>44317461</v>
      </c>
      <c r="I176" s="346">
        <v>37872262</v>
      </c>
      <c r="J176" s="350" t="s">
        <v>1599</v>
      </c>
      <c r="K176" s="337" t="s">
        <v>16</v>
      </c>
      <c r="L176" s="345">
        <v>4</v>
      </c>
      <c r="M176" s="345">
        <v>3</v>
      </c>
    </row>
    <row r="177" spans="1:13" ht="16.5" thickTop="1" thickBot="1" x14ac:dyDescent="0.3">
      <c r="H177" s="327"/>
      <c r="I177" s="327"/>
    </row>
    <row r="178" spans="1:13" ht="30" customHeight="1" thickTop="1" thickBot="1" x14ac:dyDescent="0.3">
      <c r="A178" s="639" t="s">
        <v>0</v>
      </c>
      <c r="B178" s="639" t="s">
        <v>1</v>
      </c>
      <c r="C178" s="639" t="s">
        <v>2569</v>
      </c>
      <c r="D178" s="636" t="s">
        <v>1961</v>
      </c>
      <c r="E178" s="637"/>
      <c r="F178" s="637"/>
      <c r="G178" s="638"/>
      <c r="H178" s="636" t="s">
        <v>3</v>
      </c>
      <c r="I178" s="637"/>
      <c r="J178" s="636" t="s">
        <v>1962</v>
      </c>
      <c r="K178" s="637"/>
      <c r="L178" s="637"/>
      <c r="M178" s="638"/>
    </row>
    <row r="179" spans="1:13" ht="34.5" customHeight="1" thickTop="1" thickBot="1" x14ac:dyDescent="0.3">
      <c r="A179" s="640"/>
      <c r="B179" s="640"/>
      <c r="C179" s="640"/>
      <c r="D179" s="209" t="s">
        <v>4</v>
      </c>
      <c r="E179" s="209" t="s">
        <v>5</v>
      </c>
      <c r="F179" s="209" t="s">
        <v>6</v>
      </c>
      <c r="G179" s="209" t="s">
        <v>7</v>
      </c>
      <c r="H179" s="209" t="s">
        <v>2</v>
      </c>
      <c r="I179" s="209" t="s">
        <v>3</v>
      </c>
      <c r="J179" s="209" t="s">
        <v>8</v>
      </c>
      <c r="K179" s="317" t="s">
        <v>9</v>
      </c>
      <c r="L179" s="317" t="s">
        <v>1963</v>
      </c>
      <c r="M179" s="317" t="s">
        <v>1964</v>
      </c>
    </row>
    <row r="180" spans="1:13" ht="36.75" customHeight="1" thickTop="1" thickBot="1" x14ac:dyDescent="0.3">
      <c r="A180" s="366" t="s">
        <v>1600</v>
      </c>
      <c r="B180" s="366" t="s">
        <v>1491</v>
      </c>
      <c r="C180" s="366" t="s">
        <v>18</v>
      </c>
      <c r="D180" s="335">
        <v>2</v>
      </c>
      <c r="E180" s="335">
        <v>30</v>
      </c>
      <c r="F180" s="345">
        <v>3</v>
      </c>
      <c r="G180" s="345">
        <v>848</v>
      </c>
      <c r="H180" s="346">
        <v>352725528</v>
      </c>
      <c r="I180" s="346">
        <v>0</v>
      </c>
      <c r="J180" s="350" t="s">
        <v>2010</v>
      </c>
      <c r="K180" s="337" t="s">
        <v>1601</v>
      </c>
      <c r="L180" s="345">
        <v>400</v>
      </c>
      <c r="M180" s="345">
        <v>0</v>
      </c>
    </row>
    <row r="181" spans="1:13" ht="43.5" customHeight="1" thickTop="1" thickBot="1" x14ac:dyDescent="0.3">
      <c r="A181" s="366" t="s">
        <v>1600</v>
      </c>
      <c r="B181" s="366" t="s">
        <v>1491</v>
      </c>
      <c r="C181" s="366" t="s">
        <v>105</v>
      </c>
      <c r="D181" s="335">
        <v>2</v>
      </c>
      <c r="E181" s="335">
        <v>30</v>
      </c>
      <c r="F181" s="345">
        <v>3</v>
      </c>
      <c r="G181" s="345">
        <v>542</v>
      </c>
      <c r="H181" s="346">
        <v>50000000</v>
      </c>
      <c r="I181" s="346">
        <v>42500000</v>
      </c>
      <c r="J181" s="350" t="s">
        <v>2046</v>
      </c>
      <c r="K181" s="337" t="s">
        <v>2079</v>
      </c>
      <c r="L181" s="345">
        <v>200</v>
      </c>
      <c r="M181" s="345">
        <v>170</v>
      </c>
    </row>
    <row r="182" spans="1:13" ht="48" customHeight="1" thickTop="1" thickBot="1" x14ac:dyDescent="0.3">
      <c r="A182" s="366" t="s">
        <v>1600</v>
      </c>
      <c r="B182" s="366" t="s">
        <v>1491</v>
      </c>
      <c r="C182" s="366" t="s">
        <v>53</v>
      </c>
      <c r="D182" s="335">
        <v>2</v>
      </c>
      <c r="E182" s="335">
        <v>30</v>
      </c>
      <c r="F182" s="345">
        <v>3</v>
      </c>
      <c r="G182" s="345">
        <v>521</v>
      </c>
      <c r="H182" s="346">
        <v>773026232</v>
      </c>
      <c r="I182" s="346">
        <v>220555000</v>
      </c>
      <c r="J182" s="350" t="s">
        <v>2047</v>
      </c>
      <c r="K182" s="337" t="s">
        <v>55</v>
      </c>
      <c r="L182" s="345">
        <v>13</v>
      </c>
      <c r="M182" s="345">
        <v>3</v>
      </c>
    </row>
    <row r="183" spans="1:13" ht="16.5" thickTop="1" thickBot="1" x14ac:dyDescent="0.3">
      <c r="H183" s="327"/>
      <c r="I183" s="327"/>
    </row>
    <row r="184" spans="1:13" ht="30" customHeight="1" thickTop="1" thickBot="1" x14ac:dyDescent="0.3">
      <c r="A184" s="639" t="s">
        <v>0</v>
      </c>
      <c r="B184" s="639" t="s">
        <v>1</v>
      </c>
      <c r="C184" s="639" t="s">
        <v>2569</v>
      </c>
      <c r="D184" s="636" t="s">
        <v>1961</v>
      </c>
      <c r="E184" s="637"/>
      <c r="F184" s="637"/>
      <c r="G184" s="638"/>
      <c r="H184" s="636" t="s">
        <v>3</v>
      </c>
      <c r="I184" s="637"/>
      <c r="J184" s="636" t="s">
        <v>1962</v>
      </c>
      <c r="K184" s="637"/>
      <c r="L184" s="637"/>
      <c r="M184" s="638"/>
    </row>
    <row r="185" spans="1:13" ht="34.5" customHeight="1" thickTop="1" thickBot="1" x14ac:dyDescent="0.3">
      <c r="A185" s="661"/>
      <c r="B185" s="661"/>
      <c r="C185" s="661"/>
      <c r="D185" s="321" t="s">
        <v>4</v>
      </c>
      <c r="E185" s="321" t="s">
        <v>5</v>
      </c>
      <c r="F185" s="321" t="s">
        <v>6</v>
      </c>
      <c r="G185" s="321" t="s">
        <v>7</v>
      </c>
      <c r="H185" s="321" t="s">
        <v>2</v>
      </c>
      <c r="I185" s="321" t="s">
        <v>3</v>
      </c>
      <c r="J185" s="349" t="s">
        <v>8</v>
      </c>
      <c r="K185" s="317" t="s">
        <v>9</v>
      </c>
      <c r="L185" s="317" t="s">
        <v>1963</v>
      </c>
      <c r="M185" s="317" t="s">
        <v>1964</v>
      </c>
    </row>
    <row r="186" spans="1:13" ht="46.5" thickTop="1" thickBot="1" x14ac:dyDescent="0.3">
      <c r="A186" s="366" t="s">
        <v>1602</v>
      </c>
      <c r="B186" s="366" t="s">
        <v>1491</v>
      </c>
      <c r="C186" s="366" t="s">
        <v>18</v>
      </c>
      <c r="D186" s="337">
        <v>3</v>
      </c>
      <c r="E186" s="337">
        <v>30</v>
      </c>
      <c r="F186" s="337">
        <v>3</v>
      </c>
      <c r="G186" s="337">
        <v>848</v>
      </c>
      <c r="H186" s="344">
        <v>544554056</v>
      </c>
      <c r="I186" s="344">
        <v>321191000</v>
      </c>
      <c r="J186" s="340" t="s">
        <v>1603</v>
      </c>
      <c r="K186" s="337" t="s">
        <v>20</v>
      </c>
      <c r="L186" s="343">
        <v>565</v>
      </c>
      <c r="M186" s="343">
        <v>334</v>
      </c>
    </row>
    <row r="187" spans="1:13" ht="34.5" customHeight="1" thickTop="1" thickBot="1" x14ac:dyDescent="0.3">
      <c r="A187" s="366" t="s">
        <v>1602</v>
      </c>
      <c r="B187" s="366" t="s">
        <v>1491</v>
      </c>
      <c r="C187" s="672" t="s">
        <v>53</v>
      </c>
      <c r="D187" s="337">
        <v>3</v>
      </c>
      <c r="E187" s="337">
        <v>30</v>
      </c>
      <c r="F187" s="337">
        <v>3</v>
      </c>
      <c r="G187" s="337">
        <v>520</v>
      </c>
      <c r="H187" s="344">
        <f>560000000+80000000</f>
        <v>640000000</v>
      </c>
      <c r="I187" s="344">
        <f>120631902+29063902-9920152+89776833+23518897</f>
        <v>253071382</v>
      </c>
      <c r="J187" s="340" t="s">
        <v>1604</v>
      </c>
      <c r="K187" s="337" t="s">
        <v>55</v>
      </c>
      <c r="L187" s="343">
        <v>8</v>
      </c>
      <c r="M187" s="343">
        <v>3</v>
      </c>
    </row>
    <row r="188" spans="1:13" ht="34.5" customHeight="1" thickTop="1" thickBot="1" x14ac:dyDescent="0.3">
      <c r="A188" s="366" t="s">
        <v>1602</v>
      </c>
      <c r="B188" s="366" t="s">
        <v>1491</v>
      </c>
      <c r="C188" s="672"/>
      <c r="D188" s="337">
        <v>3</v>
      </c>
      <c r="E188" s="337">
        <v>30</v>
      </c>
      <c r="F188" s="337">
        <v>3</v>
      </c>
      <c r="G188" s="337">
        <v>520</v>
      </c>
      <c r="H188" s="344">
        <f>40000000+100000000+12468647</f>
        <v>152468647</v>
      </c>
      <c r="I188" s="344">
        <f>103122510+11111990</f>
        <v>114234500</v>
      </c>
      <c r="J188" s="340" t="s">
        <v>1605</v>
      </c>
      <c r="K188" s="337" t="s">
        <v>25</v>
      </c>
      <c r="L188" s="343">
        <v>5</v>
      </c>
      <c r="M188" s="343">
        <v>3</v>
      </c>
    </row>
    <row r="189" spans="1:13" ht="33.75" customHeight="1" thickTop="1" thickBot="1" x14ac:dyDescent="0.3">
      <c r="A189" s="366" t="s">
        <v>1602</v>
      </c>
      <c r="B189" s="366" t="s">
        <v>1491</v>
      </c>
      <c r="C189" s="672"/>
      <c r="D189" s="337">
        <v>3</v>
      </c>
      <c r="E189" s="337">
        <v>30</v>
      </c>
      <c r="F189" s="337">
        <v>3</v>
      </c>
      <c r="G189" s="337">
        <v>520</v>
      </c>
      <c r="H189" s="344">
        <f>52194571+50000000</f>
        <v>102194571</v>
      </c>
      <c r="I189" s="344">
        <v>0</v>
      </c>
      <c r="J189" s="340" t="s">
        <v>1606</v>
      </c>
      <c r="K189" s="337" t="s">
        <v>410</v>
      </c>
      <c r="L189" s="343">
        <v>2</v>
      </c>
      <c r="M189" s="343">
        <v>0</v>
      </c>
    </row>
    <row r="190" spans="1:13" ht="39" customHeight="1" thickTop="1" thickBot="1" x14ac:dyDescent="0.3">
      <c r="A190" s="366" t="s">
        <v>1602</v>
      </c>
      <c r="B190" s="366" t="s">
        <v>1491</v>
      </c>
      <c r="C190" s="672" t="s">
        <v>440</v>
      </c>
      <c r="D190" s="337">
        <v>3</v>
      </c>
      <c r="E190" s="337">
        <v>30</v>
      </c>
      <c r="F190" s="337">
        <v>3</v>
      </c>
      <c r="G190" s="337">
        <v>520</v>
      </c>
      <c r="H190" s="344">
        <f>266048578-26000000+50000000</f>
        <v>290048578</v>
      </c>
      <c r="I190" s="344">
        <f>106827800+112632200+54825000</f>
        <v>274285000</v>
      </c>
      <c r="J190" s="340" t="s">
        <v>1607</v>
      </c>
      <c r="K190" s="337" t="s">
        <v>71</v>
      </c>
      <c r="L190" s="343">
        <v>40</v>
      </c>
      <c r="M190" s="343">
        <v>38</v>
      </c>
    </row>
    <row r="191" spans="1:13" ht="42" customHeight="1" thickTop="1" thickBot="1" x14ac:dyDescent="0.3">
      <c r="A191" s="366" t="s">
        <v>1602</v>
      </c>
      <c r="B191" s="366" t="s">
        <v>1491</v>
      </c>
      <c r="C191" s="672"/>
      <c r="D191" s="337">
        <v>3</v>
      </c>
      <c r="E191" s="337">
        <v>30</v>
      </c>
      <c r="F191" s="337">
        <v>3</v>
      </c>
      <c r="G191" s="337">
        <v>520</v>
      </c>
      <c r="H191" s="344">
        <f>26000000+46987459-15000000</f>
        <v>57987459</v>
      </c>
      <c r="I191" s="344">
        <v>25750000</v>
      </c>
      <c r="J191" s="340" t="s">
        <v>1608</v>
      </c>
      <c r="K191" s="337" t="s">
        <v>13</v>
      </c>
      <c r="L191" s="343">
        <v>2</v>
      </c>
      <c r="M191" s="343">
        <v>1</v>
      </c>
    </row>
    <row r="192" spans="1:13" ht="42" customHeight="1" thickTop="1" thickBot="1" x14ac:dyDescent="0.3">
      <c r="A192" s="366" t="s">
        <v>1602</v>
      </c>
      <c r="B192" s="366" t="s">
        <v>1491</v>
      </c>
      <c r="C192" s="672"/>
      <c r="D192" s="337">
        <v>3</v>
      </c>
      <c r="E192" s="337">
        <v>30</v>
      </c>
      <c r="F192" s="337">
        <v>3</v>
      </c>
      <c r="G192" s="337">
        <v>540</v>
      </c>
      <c r="H192" s="344">
        <v>15000000</v>
      </c>
      <c r="I192" s="344">
        <v>10800000</v>
      </c>
      <c r="J192" s="340" t="s">
        <v>1609</v>
      </c>
      <c r="K192" s="337" t="s">
        <v>578</v>
      </c>
      <c r="L192" s="343">
        <v>5</v>
      </c>
      <c r="M192" s="343">
        <v>4</v>
      </c>
    </row>
    <row r="193" spans="1:13" ht="45.75" customHeight="1" thickTop="1" thickBot="1" x14ac:dyDescent="0.3">
      <c r="A193" s="366" t="s">
        <v>1602</v>
      </c>
      <c r="B193" s="366" t="s">
        <v>1491</v>
      </c>
      <c r="C193" s="366" t="s">
        <v>2017</v>
      </c>
      <c r="D193" s="337">
        <v>3</v>
      </c>
      <c r="E193" s="337">
        <v>30</v>
      </c>
      <c r="F193" s="337">
        <v>3</v>
      </c>
      <c r="G193" s="337">
        <v>980</v>
      </c>
      <c r="H193" s="344">
        <v>12926875</v>
      </c>
      <c r="I193" s="344">
        <v>12926875</v>
      </c>
      <c r="J193" s="340" t="s">
        <v>1610</v>
      </c>
      <c r="K193" s="337" t="s">
        <v>16</v>
      </c>
      <c r="L193" s="343">
        <v>2</v>
      </c>
      <c r="M193" s="343">
        <v>2</v>
      </c>
    </row>
    <row r="194" spans="1:13" ht="18.75" customHeight="1" thickTop="1" thickBot="1" x14ac:dyDescent="0.3">
      <c r="A194" s="267"/>
      <c r="H194" s="327"/>
      <c r="I194" s="327"/>
    </row>
    <row r="195" spans="1:13" ht="30" customHeight="1" thickTop="1" thickBot="1" x14ac:dyDescent="0.3">
      <c r="A195" s="639" t="s">
        <v>0</v>
      </c>
      <c r="B195" s="639" t="s">
        <v>1</v>
      </c>
      <c r="C195" s="639" t="s">
        <v>2569</v>
      </c>
      <c r="D195" s="636" t="s">
        <v>1961</v>
      </c>
      <c r="E195" s="637"/>
      <c r="F195" s="637"/>
      <c r="G195" s="638"/>
      <c r="H195" s="636" t="s">
        <v>3</v>
      </c>
      <c r="I195" s="637"/>
      <c r="J195" s="636" t="s">
        <v>1962</v>
      </c>
      <c r="K195" s="637"/>
      <c r="L195" s="637"/>
      <c r="M195" s="638"/>
    </row>
    <row r="196" spans="1:13" ht="34.5" customHeight="1" thickTop="1" thickBot="1" x14ac:dyDescent="0.3">
      <c r="A196" s="661"/>
      <c r="B196" s="661"/>
      <c r="C196" s="661"/>
      <c r="D196" s="321" t="s">
        <v>4</v>
      </c>
      <c r="E196" s="321" t="s">
        <v>5</v>
      </c>
      <c r="F196" s="321" t="s">
        <v>6</v>
      </c>
      <c r="G196" s="321" t="s">
        <v>7</v>
      </c>
      <c r="H196" s="321" t="s">
        <v>2</v>
      </c>
      <c r="I196" s="321" t="s">
        <v>3</v>
      </c>
      <c r="J196" s="209" t="s">
        <v>8</v>
      </c>
      <c r="K196" s="317" t="s">
        <v>9</v>
      </c>
      <c r="L196" s="317" t="s">
        <v>1963</v>
      </c>
      <c r="M196" s="317" t="s">
        <v>1964</v>
      </c>
    </row>
    <row r="197" spans="1:13" ht="39" customHeight="1" thickTop="1" thickBot="1" x14ac:dyDescent="0.3">
      <c r="A197" s="366" t="s">
        <v>1611</v>
      </c>
      <c r="B197" s="366" t="s">
        <v>1491</v>
      </c>
      <c r="C197" s="366" t="s">
        <v>18</v>
      </c>
      <c r="D197" s="337">
        <v>3</v>
      </c>
      <c r="E197" s="337">
        <v>30</v>
      </c>
      <c r="F197" s="337">
        <v>3</v>
      </c>
      <c r="G197" s="337">
        <v>848</v>
      </c>
      <c r="H197" s="346">
        <v>677312827</v>
      </c>
      <c r="I197" s="346">
        <v>454605540</v>
      </c>
      <c r="J197" s="340" t="s">
        <v>1612</v>
      </c>
      <c r="K197" s="337" t="s">
        <v>20</v>
      </c>
      <c r="L197" s="337">
        <v>1295</v>
      </c>
      <c r="M197" s="337">
        <v>868</v>
      </c>
    </row>
    <row r="198" spans="1:13" ht="39" customHeight="1" thickTop="1" thickBot="1" x14ac:dyDescent="0.3">
      <c r="A198" s="366" t="s">
        <v>1611</v>
      </c>
      <c r="B198" s="366" t="s">
        <v>1491</v>
      </c>
      <c r="C198" s="672" t="s">
        <v>53</v>
      </c>
      <c r="D198" s="337">
        <v>3</v>
      </c>
      <c r="E198" s="337">
        <v>30</v>
      </c>
      <c r="F198" s="337">
        <v>3</v>
      </c>
      <c r="G198" s="337">
        <v>520</v>
      </c>
      <c r="H198" s="346">
        <v>120000000</v>
      </c>
      <c r="I198" s="346">
        <v>0</v>
      </c>
      <c r="J198" s="340" t="s">
        <v>1613</v>
      </c>
      <c r="K198" s="337" t="s">
        <v>410</v>
      </c>
      <c r="L198" s="337">
        <v>2</v>
      </c>
      <c r="M198" s="337">
        <v>0</v>
      </c>
    </row>
    <row r="199" spans="1:13" ht="46.5" thickTop="1" thickBot="1" x14ac:dyDescent="0.3">
      <c r="A199" s="366" t="s">
        <v>1611</v>
      </c>
      <c r="B199" s="366" t="s">
        <v>1491</v>
      </c>
      <c r="C199" s="672"/>
      <c r="D199" s="337">
        <v>3</v>
      </c>
      <c r="E199" s="337">
        <v>30</v>
      </c>
      <c r="F199" s="337">
        <v>3</v>
      </c>
      <c r="G199" s="337">
        <v>520</v>
      </c>
      <c r="H199" s="346">
        <v>25000000</v>
      </c>
      <c r="I199" s="346">
        <v>0</v>
      </c>
      <c r="J199" s="340" t="s">
        <v>1614</v>
      </c>
      <c r="K199" s="337" t="s">
        <v>13</v>
      </c>
      <c r="L199" s="337">
        <v>1</v>
      </c>
      <c r="M199" s="337">
        <v>0</v>
      </c>
    </row>
    <row r="200" spans="1:13" ht="36" customHeight="1" thickTop="1" thickBot="1" x14ac:dyDescent="0.3">
      <c r="A200" s="366" t="s">
        <v>1611</v>
      </c>
      <c r="B200" s="366" t="s">
        <v>1491</v>
      </c>
      <c r="C200" s="672"/>
      <c r="D200" s="337">
        <v>3</v>
      </c>
      <c r="E200" s="337">
        <v>30</v>
      </c>
      <c r="F200" s="337">
        <v>3</v>
      </c>
      <c r="G200" s="337">
        <v>520</v>
      </c>
      <c r="H200" s="346">
        <v>50000000</v>
      </c>
      <c r="I200" s="346">
        <v>0</v>
      </c>
      <c r="J200" s="340" t="s">
        <v>1615</v>
      </c>
      <c r="K200" s="337" t="s">
        <v>13</v>
      </c>
      <c r="L200" s="337">
        <v>1</v>
      </c>
      <c r="M200" s="337">
        <v>0</v>
      </c>
    </row>
    <row r="201" spans="1:13" ht="36" customHeight="1" thickTop="1" thickBot="1" x14ac:dyDescent="0.3">
      <c r="A201" s="366" t="s">
        <v>1611</v>
      </c>
      <c r="B201" s="366" t="s">
        <v>1491</v>
      </c>
      <c r="C201" s="672"/>
      <c r="D201" s="337">
        <v>3</v>
      </c>
      <c r="E201" s="337">
        <v>30</v>
      </c>
      <c r="F201" s="337">
        <v>3</v>
      </c>
      <c r="G201" s="337">
        <v>520</v>
      </c>
      <c r="H201" s="346">
        <v>60000000</v>
      </c>
      <c r="I201" s="346">
        <v>0</v>
      </c>
      <c r="J201" s="340" t="s">
        <v>1616</v>
      </c>
      <c r="K201" s="337" t="s">
        <v>13</v>
      </c>
      <c r="L201" s="337">
        <v>1</v>
      </c>
      <c r="M201" s="337">
        <v>0</v>
      </c>
    </row>
    <row r="202" spans="1:13" ht="35.25" thickTop="1" thickBot="1" x14ac:dyDescent="0.3">
      <c r="A202" s="366" t="s">
        <v>1611</v>
      </c>
      <c r="B202" s="366" t="s">
        <v>1491</v>
      </c>
      <c r="C202" s="672"/>
      <c r="D202" s="337">
        <v>3</v>
      </c>
      <c r="E202" s="337">
        <v>30</v>
      </c>
      <c r="F202" s="337">
        <v>3</v>
      </c>
      <c r="G202" s="337">
        <v>520</v>
      </c>
      <c r="H202" s="346">
        <v>60000000</v>
      </c>
      <c r="I202" s="346">
        <v>0</v>
      </c>
      <c r="J202" s="340" t="s">
        <v>1617</v>
      </c>
      <c r="K202" s="337" t="s">
        <v>13</v>
      </c>
      <c r="L202" s="337">
        <v>1</v>
      </c>
      <c r="M202" s="337">
        <v>0</v>
      </c>
    </row>
    <row r="203" spans="1:13" ht="35.25" thickTop="1" thickBot="1" x14ac:dyDescent="0.3">
      <c r="A203" s="366" t="s">
        <v>1611</v>
      </c>
      <c r="B203" s="366" t="s">
        <v>1491</v>
      </c>
      <c r="C203" s="672"/>
      <c r="D203" s="337">
        <v>3</v>
      </c>
      <c r="E203" s="337">
        <v>30</v>
      </c>
      <c r="F203" s="337">
        <v>3</v>
      </c>
      <c r="G203" s="337">
        <v>520</v>
      </c>
      <c r="H203" s="346">
        <v>10000000</v>
      </c>
      <c r="I203" s="346">
        <v>0</v>
      </c>
      <c r="J203" s="340" t="s">
        <v>1618</v>
      </c>
      <c r="K203" s="337" t="s">
        <v>13</v>
      </c>
      <c r="L203" s="337">
        <v>1</v>
      </c>
      <c r="M203" s="337">
        <v>0</v>
      </c>
    </row>
    <row r="204" spans="1:13" ht="37.5" customHeight="1" thickTop="1" thickBot="1" x14ac:dyDescent="0.3">
      <c r="A204" s="366" t="s">
        <v>1611</v>
      </c>
      <c r="B204" s="366" t="s">
        <v>1491</v>
      </c>
      <c r="C204" s="672"/>
      <c r="D204" s="337">
        <v>3</v>
      </c>
      <c r="E204" s="337">
        <v>30</v>
      </c>
      <c r="F204" s="337">
        <v>3</v>
      </c>
      <c r="G204" s="337">
        <v>520</v>
      </c>
      <c r="H204" s="346">
        <v>100000000</v>
      </c>
      <c r="I204" s="346">
        <f>38920225+11975480+8981595</f>
        <v>59877300</v>
      </c>
      <c r="J204" s="340" t="s">
        <v>1619</v>
      </c>
      <c r="K204" s="337" t="s">
        <v>96</v>
      </c>
      <c r="L204" s="337">
        <v>5</v>
      </c>
      <c r="M204" s="337">
        <v>3</v>
      </c>
    </row>
    <row r="205" spans="1:13" ht="37.5" customHeight="1" thickTop="1" thickBot="1" x14ac:dyDescent="0.3">
      <c r="A205" s="366" t="s">
        <v>1611</v>
      </c>
      <c r="B205" s="366" t="s">
        <v>1491</v>
      </c>
      <c r="C205" s="672"/>
      <c r="D205" s="337">
        <v>3</v>
      </c>
      <c r="E205" s="337">
        <v>30</v>
      </c>
      <c r="F205" s="337">
        <v>3</v>
      </c>
      <c r="G205" s="337">
        <v>520</v>
      </c>
      <c r="H205" s="346">
        <v>168694110</v>
      </c>
      <c r="I205" s="346">
        <f>34079998</f>
        <v>34079998</v>
      </c>
      <c r="J205" s="340" t="s">
        <v>1620</v>
      </c>
      <c r="K205" s="337" t="s">
        <v>55</v>
      </c>
      <c r="L205" s="337">
        <v>11</v>
      </c>
      <c r="M205" s="337">
        <v>0</v>
      </c>
    </row>
    <row r="206" spans="1:13" ht="28.5" customHeight="1" thickTop="1" thickBot="1" x14ac:dyDescent="0.3">
      <c r="A206" s="366" t="s">
        <v>1611</v>
      </c>
      <c r="B206" s="366" t="s">
        <v>1491</v>
      </c>
      <c r="C206" s="672"/>
      <c r="D206" s="337">
        <v>3</v>
      </c>
      <c r="E206" s="337">
        <v>30</v>
      </c>
      <c r="F206" s="337">
        <v>3</v>
      </c>
      <c r="G206" s="337">
        <v>520</v>
      </c>
      <c r="H206" s="346">
        <v>452536677</v>
      </c>
      <c r="I206" s="346">
        <f>30000000+25000000+20000000</f>
        <v>75000000</v>
      </c>
      <c r="J206" s="340" t="s">
        <v>1621</v>
      </c>
      <c r="K206" s="337" t="s">
        <v>55</v>
      </c>
      <c r="L206" s="337">
        <v>9</v>
      </c>
      <c r="M206" s="337">
        <v>2</v>
      </c>
    </row>
    <row r="207" spans="1:13" ht="35.25" thickTop="1" thickBot="1" x14ac:dyDescent="0.3">
      <c r="A207" s="366" t="s">
        <v>1611</v>
      </c>
      <c r="B207" s="366" t="s">
        <v>1491</v>
      </c>
      <c r="C207" s="672"/>
      <c r="D207" s="337">
        <v>3</v>
      </c>
      <c r="E207" s="337">
        <v>30</v>
      </c>
      <c r="F207" s="337">
        <v>3</v>
      </c>
      <c r="G207" s="337">
        <v>520</v>
      </c>
      <c r="H207" s="346">
        <v>32623925</v>
      </c>
      <c r="I207" s="346">
        <v>32623925</v>
      </c>
      <c r="J207" s="340" t="s">
        <v>1622</v>
      </c>
      <c r="K207" s="337" t="s">
        <v>16</v>
      </c>
      <c r="L207" s="337">
        <v>1</v>
      </c>
      <c r="M207" s="337">
        <v>1</v>
      </c>
    </row>
    <row r="208" spans="1:13" ht="38.25" customHeight="1" thickTop="1" thickBot="1" x14ac:dyDescent="0.3">
      <c r="A208" s="366" t="s">
        <v>1611</v>
      </c>
      <c r="B208" s="366" t="s">
        <v>1491</v>
      </c>
      <c r="C208" s="366" t="s">
        <v>440</v>
      </c>
      <c r="D208" s="337">
        <v>3</v>
      </c>
      <c r="E208" s="337">
        <v>30</v>
      </c>
      <c r="F208" s="337">
        <v>3</v>
      </c>
      <c r="G208" s="337">
        <v>520</v>
      </c>
      <c r="H208" s="346">
        <v>451541885</v>
      </c>
      <c r="I208" s="346">
        <f>132003641+50000000+44330400+8866080</f>
        <v>235200121</v>
      </c>
      <c r="J208" s="340" t="s">
        <v>1623</v>
      </c>
      <c r="K208" s="337" t="s">
        <v>11</v>
      </c>
      <c r="L208" s="337">
        <v>15400</v>
      </c>
      <c r="M208" s="337">
        <v>8105</v>
      </c>
    </row>
    <row r="209" spans="1:13" ht="30.75" customHeight="1" thickTop="1" thickBot="1" x14ac:dyDescent="0.3">
      <c r="A209" s="366" t="s">
        <v>1611</v>
      </c>
      <c r="B209" s="366" t="s">
        <v>1491</v>
      </c>
      <c r="C209" s="672" t="s">
        <v>105</v>
      </c>
      <c r="D209" s="337">
        <v>3</v>
      </c>
      <c r="E209" s="337">
        <v>30</v>
      </c>
      <c r="F209" s="337">
        <v>3</v>
      </c>
      <c r="G209" s="337">
        <v>530</v>
      </c>
      <c r="H209" s="346">
        <v>26200000</v>
      </c>
      <c r="I209" s="346">
        <v>26190000</v>
      </c>
      <c r="J209" s="340" t="s">
        <v>1624</v>
      </c>
      <c r="K209" s="337" t="s">
        <v>1625</v>
      </c>
      <c r="L209" s="337">
        <v>238</v>
      </c>
      <c r="M209" s="337">
        <v>238</v>
      </c>
    </row>
    <row r="210" spans="1:13" ht="33.75" customHeight="1" thickTop="1" thickBot="1" x14ac:dyDescent="0.3">
      <c r="A210" s="366" t="s">
        <v>1611</v>
      </c>
      <c r="B210" s="366" t="s">
        <v>1491</v>
      </c>
      <c r="C210" s="672"/>
      <c r="D210" s="337">
        <v>3</v>
      </c>
      <c r="E210" s="337">
        <v>30</v>
      </c>
      <c r="F210" s="337">
        <v>3</v>
      </c>
      <c r="G210" s="337">
        <v>530</v>
      </c>
      <c r="H210" s="346">
        <v>23800000</v>
      </c>
      <c r="I210" s="346">
        <v>23790000</v>
      </c>
      <c r="J210" s="340" t="s">
        <v>1626</v>
      </c>
      <c r="K210" s="337" t="s">
        <v>2083</v>
      </c>
      <c r="L210" s="337">
        <v>170</v>
      </c>
      <c r="M210" s="337">
        <v>170</v>
      </c>
    </row>
    <row r="211" spans="1:13" ht="16.5" thickTop="1" thickBot="1" x14ac:dyDescent="0.3">
      <c r="H211" s="327"/>
      <c r="I211" s="327"/>
    </row>
    <row r="212" spans="1:13" ht="30" customHeight="1" thickTop="1" thickBot="1" x14ac:dyDescent="0.3">
      <c r="A212" s="639" t="s">
        <v>0</v>
      </c>
      <c r="B212" s="639" t="s">
        <v>1</v>
      </c>
      <c r="C212" s="639" t="s">
        <v>2569</v>
      </c>
      <c r="D212" s="636" t="s">
        <v>1961</v>
      </c>
      <c r="E212" s="637"/>
      <c r="F212" s="637"/>
      <c r="G212" s="638"/>
      <c r="H212" s="636" t="s">
        <v>3</v>
      </c>
      <c r="I212" s="637"/>
      <c r="J212" s="636" t="s">
        <v>1962</v>
      </c>
      <c r="K212" s="637"/>
      <c r="L212" s="637"/>
      <c r="M212" s="638"/>
    </row>
    <row r="213" spans="1:13" ht="34.5" customHeight="1" thickTop="1" thickBot="1" x14ac:dyDescent="0.3">
      <c r="A213" s="661"/>
      <c r="B213" s="661"/>
      <c r="C213" s="661"/>
      <c r="D213" s="321" t="s">
        <v>4</v>
      </c>
      <c r="E213" s="321" t="s">
        <v>5</v>
      </c>
      <c r="F213" s="321" t="s">
        <v>6</v>
      </c>
      <c r="G213" s="321" t="s">
        <v>7</v>
      </c>
      <c r="H213" s="321" t="s">
        <v>2</v>
      </c>
      <c r="I213" s="321" t="s">
        <v>3</v>
      </c>
      <c r="J213" s="209" t="s">
        <v>8</v>
      </c>
      <c r="K213" s="317" t="s">
        <v>9</v>
      </c>
      <c r="L213" s="317" t="s">
        <v>1963</v>
      </c>
      <c r="M213" s="317" t="s">
        <v>1964</v>
      </c>
    </row>
    <row r="214" spans="1:13" ht="59.25" customHeight="1" thickTop="1" thickBot="1" x14ac:dyDescent="0.3">
      <c r="A214" s="619" t="s">
        <v>2464</v>
      </c>
      <c r="B214" s="366" t="s">
        <v>1491</v>
      </c>
      <c r="C214" s="366" t="s">
        <v>723</v>
      </c>
      <c r="D214" s="337">
        <v>2</v>
      </c>
      <c r="E214" s="357">
        <v>30</v>
      </c>
      <c r="F214" s="357">
        <v>3</v>
      </c>
      <c r="G214" s="357">
        <v>848</v>
      </c>
      <c r="H214" s="358">
        <v>700875438</v>
      </c>
      <c r="I214" s="358">
        <v>698592000</v>
      </c>
      <c r="J214" s="350" t="s">
        <v>1627</v>
      </c>
      <c r="K214" s="337" t="s">
        <v>20</v>
      </c>
      <c r="L214" s="357">
        <v>608</v>
      </c>
      <c r="M214" s="357">
        <v>608</v>
      </c>
    </row>
    <row r="215" spans="1:13" ht="30" customHeight="1" thickTop="1" thickBot="1" x14ac:dyDescent="0.3">
      <c r="A215" s="619" t="s">
        <v>2464</v>
      </c>
      <c r="B215" s="366" t="s">
        <v>1491</v>
      </c>
      <c r="C215" s="672" t="s">
        <v>53</v>
      </c>
      <c r="D215" s="337">
        <v>2</v>
      </c>
      <c r="E215" s="357">
        <v>30</v>
      </c>
      <c r="F215" s="357">
        <v>3</v>
      </c>
      <c r="G215" s="357">
        <v>520</v>
      </c>
      <c r="H215" s="358">
        <f>800000000-155574600</f>
        <v>644425400</v>
      </c>
      <c r="I215" s="358">
        <f>291328012+154992286</f>
        <v>446320298</v>
      </c>
      <c r="J215" s="350" t="s">
        <v>1628</v>
      </c>
      <c r="K215" s="337" t="s">
        <v>55</v>
      </c>
      <c r="L215" s="337">
        <v>17</v>
      </c>
      <c r="M215" s="337">
        <v>6</v>
      </c>
    </row>
    <row r="216" spans="1:13" ht="35.25" thickTop="1" thickBot="1" x14ac:dyDescent="0.3">
      <c r="A216" s="619" t="s">
        <v>2464</v>
      </c>
      <c r="B216" s="366" t="s">
        <v>1491</v>
      </c>
      <c r="C216" s="672"/>
      <c r="D216" s="337">
        <v>2</v>
      </c>
      <c r="E216" s="357">
        <v>30</v>
      </c>
      <c r="F216" s="357">
        <v>3</v>
      </c>
      <c r="G216" s="357">
        <v>520</v>
      </c>
      <c r="H216" s="358">
        <v>200000000</v>
      </c>
      <c r="I216" s="358">
        <v>32301091</v>
      </c>
      <c r="J216" s="340" t="s">
        <v>1629</v>
      </c>
      <c r="K216" s="337" t="s">
        <v>25</v>
      </c>
      <c r="L216" s="337">
        <v>10</v>
      </c>
      <c r="M216" s="357">
        <v>2</v>
      </c>
    </row>
    <row r="217" spans="1:13" ht="36.75" customHeight="1" thickTop="1" thickBot="1" x14ac:dyDescent="0.3">
      <c r="A217" s="619" t="s">
        <v>2464</v>
      </c>
      <c r="B217" s="366" t="s">
        <v>1491</v>
      </c>
      <c r="C217" s="672"/>
      <c r="D217" s="337">
        <v>2</v>
      </c>
      <c r="E217" s="357">
        <v>30</v>
      </c>
      <c r="F217" s="357">
        <v>3</v>
      </c>
      <c r="G217" s="357">
        <v>520</v>
      </c>
      <c r="H217" s="358">
        <v>177408852</v>
      </c>
      <c r="I217" s="358">
        <v>85403087</v>
      </c>
      <c r="J217" s="340" t="s">
        <v>2048</v>
      </c>
      <c r="K217" s="337" t="s">
        <v>410</v>
      </c>
      <c r="L217" s="337">
        <v>3</v>
      </c>
      <c r="M217" s="357">
        <v>1</v>
      </c>
    </row>
    <row r="218" spans="1:13" ht="42" customHeight="1" thickTop="1" thickBot="1" x14ac:dyDescent="0.3">
      <c r="A218" s="619" t="s">
        <v>2464</v>
      </c>
      <c r="B218" s="366" t="s">
        <v>1491</v>
      </c>
      <c r="C218" s="672"/>
      <c r="D218" s="337">
        <v>2</v>
      </c>
      <c r="E218" s="357">
        <v>30</v>
      </c>
      <c r="F218" s="357">
        <v>3</v>
      </c>
      <c r="G218" s="357">
        <v>520</v>
      </c>
      <c r="H218" s="358">
        <f>129645500+25929100</f>
        <v>155574600</v>
      </c>
      <c r="I218" s="358">
        <v>155556600</v>
      </c>
      <c r="J218" s="340" t="s">
        <v>2049</v>
      </c>
      <c r="K218" s="337" t="s">
        <v>11</v>
      </c>
      <c r="L218" s="337">
        <v>1800</v>
      </c>
      <c r="M218" s="357">
        <v>1800</v>
      </c>
    </row>
    <row r="219" spans="1:13" ht="16.5" thickTop="1" thickBot="1" x14ac:dyDescent="0.3">
      <c r="H219" s="327"/>
      <c r="I219" s="327"/>
    </row>
    <row r="220" spans="1:13" ht="30" customHeight="1" thickTop="1" thickBot="1" x14ac:dyDescent="0.3">
      <c r="A220" s="639" t="s">
        <v>0</v>
      </c>
      <c r="B220" s="639" t="s">
        <v>1</v>
      </c>
      <c r="C220" s="639" t="s">
        <v>2569</v>
      </c>
      <c r="D220" s="636" t="s">
        <v>1961</v>
      </c>
      <c r="E220" s="637"/>
      <c r="F220" s="637"/>
      <c r="G220" s="638"/>
      <c r="H220" s="636" t="s">
        <v>3</v>
      </c>
      <c r="I220" s="637"/>
      <c r="J220" s="636" t="s">
        <v>1962</v>
      </c>
      <c r="K220" s="637"/>
      <c r="L220" s="637"/>
      <c r="M220" s="638"/>
    </row>
    <row r="221" spans="1:13" ht="34.5" customHeight="1" thickTop="1" thickBot="1" x14ac:dyDescent="0.3">
      <c r="A221" s="661"/>
      <c r="B221" s="661"/>
      <c r="C221" s="661"/>
      <c r="D221" s="321" t="s">
        <v>4</v>
      </c>
      <c r="E221" s="321" t="s">
        <v>5</v>
      </c>
      <c r="F221" s="321" t="s">
        <v>6</v>
      </c>
      <c r="G221" s="321" t="s">
        <v>7</v>
      </c>
      <c r="H221" s="321" t="s">
        <v>2</v>
      </c>
      <c r="I221" s="321" t="s">
        <v>3</v>
      </c>
      <c r="J221" s="209" t="s">
        <v>8</v>
      </c>
      <c r="K221" s="317" t="s">
        <v>9</v>
      </c>
      <c r="L221" s="317" t="s">
        <v>1963</v>
      </c>
      <c r="M221" s="317" t="s">
        <v>1964</v>
      </c>
    </row>
    <row r="222" spans="1:13" ht="48" customHeight="1" thickTop="1" thickBot="1" x14ac:dyDescent="0.3">
      <c r="A222" s="366" t="s">
        <v>2465</v>
      </c>
      <c r="B222" s="366" t="s">
        <v>1491</v>
      </c>
      <c r="C222" s="366" t="s">
        <v>18</v>
      </c>
      <c r="D222" s="337">
        <v>3</v>
      </c>
      <c r="E222" s="337">
        <v>30</v>
      </c>
      <c r="F222" s="337">
        <v>3</v>
      </c>
      <c r="G222" s="337">
        <v>848</v>
      </c>
      <c r="H222" s="344">
        <v>751332635</v>
      </c>
      <c r="I222" s="344">
        <v>188146500</v>
      </c>
      <c r="J222" s="340" t="s">
        <v>2011</v>
      </c>
      <c r="K222" s="337" t="s">
        <v>20</v>
      </c>
      <c r="L222" s="343">
        <v>540</v>
      </c>
      <c r="M222" s="343">
        <v>135</v>
      </c>
    </row>
    <row r="223" spans="1:13" ht="35.25" thickTop="1" thickBot="1" x14ac:dyDescent="0.3">
      <c r="A223" s="619" t="s">
        <v>2465</v>
      </c>
      <c r="B223" s="366" t="s">
        <v>1491</v>
      </c>
      <c r="C223" s="672" t="s">
        <v>53</v>
      </c>
      <c r="D223" s="337">
        <v>3</v>
      </c>
      <c r="E223" s="337">
        <v>30</v>
      </c>
      <c r="F223" s="337">
        <v>3</v>
      </c>
      <c r="G223" s="337">
        <v>520</v>
      </c>
      <c r="H223" s="344">
        <v>781276148</v>
      </c>
      <c r="I223" s="344">
        <f>546850000+398721278-250000000</f>
        <v>695571278</v>
      </c>
      <c r="J223" s="340" t="s">
        <v>1630</v>
      </c>
      <c r="K223" s="337" t="s">
        <v>55</v>
      </c>
      <c r="L223" s="343">
        <v>3</v>
      </c>
      <c r="M223" s="343">
        <v>3</v>
      </c>
    </row>
    <row r="224" spans="1:13" ht="32.25" customHeight="1" thickTop="1" thickBot="1" x14ac:dyDescent="0.3">
      <c r="A224" s="619" t="s">
        <v>2465</v>
      </c>
      <c r="B224" s="366" t="s">
        <v>1491</v>
      </c>
      <c r="C224" s="672"/>
      <c r="D224" s="337">
        <v>3</v>
      </c>
      <c r="E224" s="337">
        <v>30</v>
      </c>
      <c r="F224" s="337">
        <v>3</v>
      </c>
      <c r="G224" s="337">
        <v>520</v>
      </c>
      <c r="H224" s="344">
        <v>650000000</v>
      </c>
      <c r="I224" s="344">
        <f>166912697+250000000</f>
        <v>416912697</v>
      </c>
      <c r="J224" s="340" t="s">
        <v>1631</v>
      </c>
      <c r="K224" s="337" t="s">
        <v>13</v>
      </c>
      <c r="L224" s="343">
        <v>8</v>
      </c>
      <c r="M224" s="343">
        <v>5</v>
      </c>
    </row>
    <row r="225" spans="1:13" ht="35.25" thickTop="1" thickBot="1" x14ac:dyDescent="0.3">
      <c r="A225" s="619" t="s">
        <v>2465</v>
      </c>
      <c r="B225" s="366" t="s">
        <v>1491</v>
      </c>
      <c r="C225" s="672"/>
      <c r="D225" s="337">
        <v>3</v>
      </c>
      <c r="E225" s="337">
        <v>30</v>
      </c>
      <c r="F225" s="337">
        <v>3</v>
      </c>
      <c r="G225" s="337">
        <v>520</v>
      </c>
      <c r="H225" s="344">
        <v>190000000</v>
      </c>
      <c r="I225" s="344">
        <v>186053600</v>
      </c>
      <c r="J225" s="340" t="s">
        <v>1632</v>
      </c>
      <c r="K225" s="337" t="s">
        <v>410</v>
      </c>
      <c r="L225" s="343">
        <v>2</v>
      </c>
      <c r="M225" s="343">
        <v>2</v>
      </c>
    </row>
    <row r="226" spans="1:13" ht="34.5" customHeight="1" thickTop="1" thickBot="1" x14ac:dyDescent="0.3">
      <c r="A226" s="619" t="s">
        <v>2465</v>
      </c>
      <c r="B226" s="366" t="s">
        <v>1491</v>
      </c>
      <c r="C226" s="366" t="s">
        <v>440</v>
      </c>
      <c r="D226" s="337">
        <v>3</v>
      </c>
      <c r="E226" s="337">
        <v>30</v>
      </c>
      <c r="F226" s="337">
        <v>3</v>
      </c>
      <c r="G226" s="337">
        <v>520</v>
      </c>
      <c r="H226" s="344">
        <v>15000000</v>
      </c>
      <c r="I226" s="344">
        <v>13946400</v>
      </c>
      <c r="J226" s="340" t="s">
        <v>2050</v>
      </c>
      <c r="K226" s="337" t="s">
        <v>13</v>
      </c>
      <c r="L226" s="343">
        <v>1</v>
      </c>
      <c r="M226" s="343">
        <v>1</v>
      </c>
    </row>
    <row r="227" spans="1:13" ht="31.5" customHeight="1" thickTop="1" thickBot="1" x14ac:dyDescent="0.3">
      <c r="A227" s="619" t="s">
        <v>2465</v>
      </c>
      <c r="B227" s="366" t="s">
        <v>1491</v>
      </c>
      <c r="C227" s="675" t="s">
        <v>105</v>
      </c>
      <c r="D227" s="337">
        <v>3</v>
      </c>
      <c r="E227" s="337">
        <v>30</v>
      </c>
      <c r="F227" s="337">
        <v>3</v>
      </c>
      <c r="G227" s="337">
        <v>540</v>
      </c>
      <c r="H227" s="344">
        <v>100000000</v>
      </c>
      <c r="I227" s="344">
        <v>100000000</v>
      </c>
      <c r="J227" s="340" t="s">
        <v>1633</v>
      </c>
      <c r="K227" s="684" t="s">
        <v>383</v>
      </c>
      <c r="L227" s="343">
        <v>20</v>
      </c>
      <c r="M227" s="343">
        <v>20</v>
      </c>
    </row>
    <row r="228" spans="1:13" ht="29.25" customHeight="1" thickTop="1" thickBot="1" x14ac:dyDescent="0.3">
      <c r="A228" s="619" t="s">
        <v>2465</v>
      </c>
      <c r="B228" s="366" t="s">
        <v>1491</v>
      </c>
      <c r="C228" s="677"/>
      <c r="D228" s="337">
        <v>3</v>
      </c>
      <c r="E228" s="337">
        <v>30</v>
      </c>
      <c r="F228" s="337">
        <v>3</v>
      </c>
      <c r="G228" s="337">
        <v>540</v>
      </c>
      <c r="H228" s="344">
        <v>13000000</v>
      </c>
      <c r="I228" s="344">
        <v>12000000</v>
      </c>
      <c r="J228" s="340" t="s">
        <v>1634</v>
      </c>
      <c r="K228" s="685"/>
      <c r="L228" s="343">
        <v>6</v>
      </c>
      <c r="M228" s="343">
        <v>6</v>
      </c>
    </row>
    <row r="229" spans="1:13" ht="46.5" thickTop="1" thickBot="1" x14ac:dyDescent="0.3">
      <c r="A229" s="619" t="s">
        <v>2465</v>
      </c>
      <c r="B229" s="366" t="s">
        <v>1491</v>
      </c>
      <c r="C229" s="366" t="s">
        <v>53</v>
      </c>
      <c r="D229" s="337">
        <v>3</v>
      </c>
      <c r="E229" s="337">
        <v>30</v>
      </c>
      <c r="F229" s="337">
        <v>3</v>
      </c>
      <c r="G229" s="337">
        <v>980</v>
      </c>
      <c r="H229" s="344">
        <v>5000000</v>
      </c>
      <c r="I229" s="344">
        <v>4900189</v>
      </c>
      <c r="J229" s="340" t="s">
        <v>1635</v>
      </c>
      <c r="K229" s="337" t="s">
        <v>16</v>
      </c>
      <c r="L229" s="343">
        <v>1</v>
      </c>
      <c r="M229" s="343">
        <v>1</v>
      </c>
    </row>
    <row r="230" spans="1:13" ht="16.5" thickTop="1" thickBot="1" x14ac:dyDescent="0.3">
      <c r="H230" s="327"/>
      <c r="I230" s="327"/>
    </row>
    <row r="231" spans="1:13" ht="30" customHeight="1" thickTop="1" thickBot="1" x14ac:dyDescent="0.3">
      <c r="A231" s="639" t="s">
        <v>0</v>
      </c>
      <c r="B231" s="639" t="s">
        <v>1</v>
      </c>
      <c r="C231" s="639" t="s">
        <v>2569</v>
      </c>
      <c r="D231" s="636" t="s">
        <v>1961</v>
      </c>
      <c r="E231" s="637"/>
      <c r="F231" s="637"/>
      <c r="G231" s="638"/>
      <c r="H231" s="636" t="s">
        <v>3</v>
      </c>
      <c r="I231" s="637"/>
      <c r="J231" s="636" t="s">
        <v>1962</v>
      </c>
      <c r="K231" s="637"/>
      <c r="L231" s="637"/>
      <c r="M231" s="638"/>
    </row>
    <row r="232" spans="1:13" ht="34.5" customHeight="1" thickTop="1" thickBot="1" x14ac:dyDescent="0.3">
      <c r="A232" s="661"/>
      <c r="B232" s="661"/>
      <c r="C232" s="661"/>
      <c r="D232" s="321" t="s">
        <v>4</v>
      </c>
      <c r="E232" s="321" t="s">
        <v>5</v>
      </c>
      <c r="F232" s="321" t="s">
        <v>6</v>
      </c>
      <c r="G232" s="321" t="s">
        <v>7</v>
      </c>
      <c r="H232" s="321" t="s">
        <v>2</v>
      </c>
      <c r="I232" s="321" t="s">
        <v>3</v>
      </c>
      <c r="J232" s="209" t="s">
        <v>8</v>
      </c>
      <c r="K232" s="317" t="s">
        <v>9</v>
      </c>
      <c r="L232" s="317" t="s">
        <v>1963</v>
      </c>
      <c r="M232" s="317" t="s">
        <v>1964</v>
      </c>
    </row>
    <row r="233" spans="1:13" ht="46.5" thickTop="1" thickBot="1" x14ac:dyDescent="0.3">
      <c r="A233" s="366" t="s">
        <v>1636</v>
      </c>
      <c r="B233" s="366" t="s">
        <v>1491</v>
      </c>
      <c r="C233" s="366" t="s">
        <v>18</v>
      </c>
      <c r="D233" s="337">
        <v>3</v>
      </c>
      <c r="E233" s="337">
        <v>30</v>
      </c>
      <c r="F233" s="337">
        <v>3</v>
      </c>
      <c r="G233" s="337">
        <v>848</v>
      </c>
      <c r="H233" s="344">
        <v>1224877270</v>
      </c>
      <c r="I233" s="344">
        <v>0</v>
      </c>
      <c r="J233" s="340" t="s">
        <v>1637</v>
      </c>
      <c r="K233" s="337" t="s">
        <v>20</v>
      </c>
      <c r="L233" s="343">
        <v>800</v>
      </c>
      <c r="M233" s="343">
        <v>0</v>
      </c>
    </row>
    <row r="234" spans="1:13" ht="37.5" customHeight="1" thickTop="1" thickBot="1" x14ac:dyDescent="0.3">
      <c r="A234" s="366" t="s">
        <v>1636</v>
      </c>
      <c r="B234" s="366" t="s">
        <v>1491</v>
      </c>
      <c r="C234" s="672" t="s">
        <v>53</v>
      </c>
      <c r="D234" s="337">
        <v>2</v>
      </c>
      <c r="E234" s="337">
        <v>30</v>
      </c>
      <c r="F234" s="337">
        <v>3</v>
      </c>
      <c r="G234" s="337">
        <v>520</v>
      </c>
      <c r="H234" s="344">
        <f>560000000+126995234</f>
        <v>686995234</v>
      </c>
      <c r="I234" s="344">
        <f>8126900+326298980+11000+5749497+8986425+24171595</f>
        <v>373344397</v>
      </c>
      <c r="J234" s="340" t="s">
        <v>1638</v>
      </c>
      <c r="K234" s="337" t="s">
        <v>55</v>
      </c>
      <c r="L234" s="343">
        <v>10</v>
      </c>
      <c r="M234" s="343">
        <v>5</v>
      </c>
    </row>
    <row r="235" spans="1:13" ht="37.5" customHeight="1" thickTop="1" thickBot="1" x14ac:dyDescent="0.3">
      <c r="A235" s="366" t="s">
        <v>1636</v>
      </c>
      <c r="B235" s="366" t="s">
        <v>1491</v>
      </c>
      <c r="C235" s="672"/>
      <c r="D235" s="337">
        <v>2</v>
      </c>
      <c r="E235" s="337">
        <v>30</v>
      </c>
      <c r="F235" s="337">
        <v>3</v>
      </c>
      <c r="G235" s="337">
        <v>520</v>
      </c>
      <c r="H235" s="344">
        <f>320000000+126995234</f>
        <v>446995234</v>
      </c>
      <c r="I235" s="344">
        <v>0</v>
      </c>
      <c r="J235" s="340" t="s">
        <v>1639</v>
      </c>
      <c r="K235" s="337" t="s">
        <v>55</v>
      </c>
      <c r="L235" s="343">
        <v>10</v>
      </c>
      <c r="M235" s="343">
        <v>0</v>
      </c>
    </row>
    <row r="236" spans="1:13" ht="37.5" customHeight="1" thickTop="1" thickBot="1" x14ac:dyDescent="0.3">
      <c r="A236" s="366" t="s">
        <v>1636</v>
      </c>
      <c r="B236" s="366" t="s">
        <v>1491</v>
      </c>
      <c r="C236" s="672"/>
      <c r="D236" s="337">
        <v>2</v>
      </c>
      <c r="E236" s="337">
        <v>30</v>
      </c>
      <c r="F236" s="337">
        <v>3</v>
      </c>
      <c r="G236" s="337">
        <v>520</v>
      </c>
      <c r="H236" s="344">
        <f>100000000+126995234</f>
        <v>226995234</v>
      </c>
      <c r="I236" s="344">
        <f>59823154+2057637+2057637</f>
        <v>63938428</v>
      </c>
      <c r="J236" s="340" t="s">
        <v>1640</v>
      </c>
      <c r="K236" s="337" t="s">
        <v>25</v>
      </c>
      <c r="L236" s="343">
        <v>6</v>
      </c>
      <c r="M236" s="343">
        <v>2</v>
      </c>
    </row>
    <row r="237" spans="1:13" ht="37.5" customHeight="1" thickTop="1" thickBot="1" x14ac:dyDescent="0.3">
      <c r="A237" s="366" t="s">
        <v>1636</v>
      </c>
      <c r="B237" s="366" t="s">
        <v>1491</v>
      </c>
      <c r="C237" s="672"/>
      <c r="D237" s="337">
        <v>2</v>
      </c>
      <c r="E237" s="337">
        <v>30</v>
      </c>
      <c r="F237" s="337">
        <v>3</v>
      </c>
      <c r="G237" s="337">
        <v>520</v>
      </c>
      <c r="H237" s="344">
        <f>465123365+126995234</f>
        <v>592118599</v>
      </c>
      <c r="I237" s="344">
        <v>0</v>
      </c>
      <c r="J237" s="340" t="s">
        <v>1641</v>
      </c>
      <c r="K237" s="337" t="s">
        <v>410</v>
      </c>
      <c r="L237" s="343">
        <v>9</v>
      </c>
      <c r="M237" s="343">
        <v>0</v>
      </c>
    </row>
    <row r="238" spans="1:13" ht="63" customHeight="1" thickTop="1" thickBot="1" x14ac:dyDescent="0.3">
      <c r="A238" s="366" t="s">
        <v>1636</v>
      </c>
      <c r="B238" s="366" t="s">
        <v>1491</v>
      </c>
      <c r="C238" s="672" t="s">
        <v>440</v>
      </c>
      <c r="D238" s="337">
        <v>3</v>
      </c>
      <c r="E238" s="337">
        <v>30</v>
      </c>
      <c r="F238" s="337">
        <v>3</v>
      </c>
      <c r="G238" s="337">
        <v>520</v>
      </c>
      <c r="H238" s="344">
        <f>400000000+101596187</f>
        <v>501596187</v>
      </c>
      <c r="I238" s="344">
        <v>0</v>
      </c>
      <c r="J238" s="340" t="s">
        <v>2051</v>
      </c>
      <c r="K238" s="337" t="s">
        <v>13</v>
      </c>
      <c r="L238" s="343">
        <v>1</v>
      </c>
      <c r="M238" s="343">
        <v>0</v>
      </c>
    </row>
    <row r="239" spans="1:13" ht="38.25" customHeight="1" thickTop="1" thickBot="1" x14ac:dyDescent="0.3">
      <c r="A239" s="366" t="s">
        <v>1636</v>
      </c>
      <c r="B239" s="366" t="s">
        <v>1491</v>
      </c>
      <c r="C239" s="672"/>
      <c r="D239" s="337">
        <v>2</v>
      </c>
      <c r="E239" s="337">
        <v>30</v>
      </c>
      <c r="F239" s="337">
        <v>3</v>
      </c>
      <c r="G239" s="337">
        <v>520</v>
      </c>
      <c r="H239" s="344">
        <f>256312251+101596187</f>
        <v>357908438</v>
      </c>
      <c r="I239" s="344">
        <f>43150809+2571091</f>
        <v>45721900</v>
      </c>
      <c r="J239" s="340" t="s">
        <v>1642</v>
      </c>
      <c r="K239" s="337" t="s">
        <v>11</v>
      </c>
      <c r="L239" s="343">
        <v>7158</v>
      </c>
      <c r="M239" s="343">
        <v>863</v>
      </c>
    </row>
    <row r="240" spans="1:13" ht="36" customHeight="1" thickTop="1" thickBot="1" x14ac:dyDescent="0.3">
      <c r="A240" s="366" t="s">
        <v>1636</v>
      </c>
      <c r="B240" s="366" t="s">
        <v>1491</v>
      </c>
      <c r="C240" s="366" t="s">
        <v>18</v>
      </c>
      <c r="D240" s="337">
        <v>3</v>
      </c>
      <c r="E240" s="337">
        <v>30</v>
      </c>
      <c r="F240" s="337">
        <v>3</v>
      </c>
      <c r="G240" s="337">
        <v>960</v>
      </c>
      <c r="H240" s="344">
        <v>64379670</v>
      </c>
      <c r="I240" s="344">
        <v>0</v>
      </c>
      <c r="J240" s="340" t="s">
        <v>2012</v>
      </c>
      <c r="K240" s="337" t="s">
        <v>16</v>
      </c>
      <c r="L240" s="343">
        <v>1</v>
      </c>
      <c r="M240" s="343">
        <v>0</v>
      </c>
    </row>
    <row r="241" spans="1:13" ht="48.75" customHeight="1" thickTop="1" thickBot="1" x14ac:dyDescent="0.3">
      <c r="A241" s="366" t="s">
        <v>1636</v>
      </c>
      <c r="B241" s="366" t="s">
        <v>1491</v>
      </c>
      <c r="C241" s="366" t="s">
        <v>53</v>
      </c>
      <c r="D241" s="337">
        <v>3</v>
      </c>
      <c r="E241" s="337">
        <v>30</v>
      </c>
      <c r="F241" s="337">
        <v>3</v>
      </c>
      <c r="G241" s="337">
        <v>980</v>
      </c>
      <c r="H241" s="344">
        <v>195657265</v>
      </c>
      <c r="I241" s="344">
        <v>189907667</v>
      </c>
      <c r="J241" s="340" t="s">
        <v>1643</v>
      </c>
      <c r="K241" s="337" t="s">
        <v>16</v>
      </c>
      <c r="L241" s="343">
        <v>6</v>
      </c>
      <c r="M241" s="343">
        <v>6</v>
      </c>
    </row>
    <row r="242" spans="1:13" ht="16.5" thickTop="1" thickBot="1" x14ac:dyDescent="0.3">
      <c r="H242" s="327"/>
      <c r="I242" s="327"/>
    </row>
    <row r="243" spans="1:13" ht="27.75" customHeight="1" thickTop="1" thickBot="1" x14ac:dyDescent="0.3">
      <c r="A243" s="639" t="s">
        <v>0</v>
      </c>
      <c r="B243" s="639" t="s">
        <v>1</v>
      </c>
      <c r="C243" s="639" t="s">
        <v>2569</v>
      </c>
      <c r="D243" s="636" t="s">
        <v>1961</v>
      </c>
      <c r="E243" s="637"/>
      <c r="F243" s="637"/>
      <c r="G243" s="638"/>
      <c r="H243" s="636" t="s">
        <v>3</v>
      </c>
      <c r="I243" s="637"/>
      <c r="J243" s="636" t="s">
        <v>1962</v>
      </c>
      <c r="K243" s="637"/>
      <c r="L243" s="637"/>
      <c r="M243" s="638"/>
    </row>
    <row r="244" spans="1:13" ht="34.5" customHeight="1" thickTop="1" thickBot="1" x14ac:dyDescent="0.3">
      <c r="A244" s="661"/>
      <c r="B244" s="661"/>
      <c r="C244" s="661"/>
      <c r="D244" s="321" t="s">
        <v>4</v>
      </c>
      <c r="E244" s="321" t="s">
        <v>5</v>
      </c>
      <c r="F244" s="321" t="s">
        <v>6</v>
      </c>
      <c r="G244" s="321" t="s">
        <v>7</v>
      </c>
      <c r="H244" s="321" t="s">
        <v>2</v>
      </c>
      <c r="I244" s="321" t="s">
        <v>3</v>
      </c>
      <c r="J244" s="209" t="s">
        <v>8</v>
      </c>
      <c r="K244" s="317" t="s">
        <v>9</v>
      </c>
      <c r="L244" s="317" t="s">
        <v>1963</v>
      </c>
      <c r="M244" s="317" t="s">
        <v>1964</v>
      </c>
    </row>
    <row r="245" spans="1:13" ht="46.5" thickTop="1" thickBot="1" x14ac:dyDescent="0.3">
      <c r="A245" s="366" t="s">
        <v>1644</v>
      </c>
      <c r="B245" s="366" t="s">
        <v>1491</v>
      </c>
      <c r="C245" s="366" t="s">
        <v>18</v>
      </c>
      <c r="D245" s="337">
        <v>2</v>
      </c>
      <c r="E245" s="337">
        <v>30</v>
      </c>
      <c r="F245" s="337">
        <v>3</v>
      </c>
      <c r="G245" s="337">
        <v>848</v>
      </c>
      <c r="H245" s="344">
        <f>566822734+338159120</f>
        <v>904981854</v>
      </c>
      <c r="I245" s="344">
        <v>584174500</v>
      </c>
      <c r="J245" s="340" t="s">
        <v>1645</v>
      </c>
      <c r="K245" s="337" t="s">
        <v>20</v>
      </c>
      <c r="L245" s="337">
        <v>659</v>
      </c>
      <c r="M245" s="343">
        <v>428</v>
      </c>
    </row>
    <row r="246" spans="1:13" ht="46.5" customHeight="1" thickTop="1" thickBot="1" x14ac:dyDescent="0.3">
      <c r="A246" s="366" t="s">
        <v>1644</v>
      </c>
      <c r="B246" s="366" t="s">
        <v>1491</v>
      </c>
      <c r="C246" s="675" t="s">
        <v>53</v>
      </c>
      <c r="D246" s="337">
        <v>2</v>
      </c>
      <c r="E246" s="337">
        <v>30</v>
      </c>
      <c r="F246" s="337">
        <v>3</v>
      </c>
      <c r="G246" s="337">
        <v>520</v>
      </c>
      <c r="H246" s="344">
        <v>127586376</v>
      </c>
      <c r="I246" s="344">
        <f>82503236+43591859</f>
        <v>126095095</v>
      </c>
      <c r="J246" s="340" t="s">
        <v>1646</v>
      </c>
      <c r="K246" s="337" t="s">
        <v>13</v>
      </c>
      <c r="L246" s="337">
        <v>1</v>
      </c>
      <c r="M246" s="343">
        <v>1</v>
      </c>
    </row>
    <row r="247" spans="1:13" ht="31.5" thickTop="1" thickBot="1" x14ac:dyDescent="0.3">
      <c r="A247" s="366" t="s">
        <v>1644</v>
      </c>
      <c r="B247" s="366" t="s">
        <v>1491</v>
      </c>
      <c r="C247" s="676"/>
      <c r="D247" s="337">
        <v>2</v>
      </c>
      <c r="E247" s="337">
        <v>30</v>
      </c>
      <c r="F247" s="337">
        <v>3</v>
      </c>
      <c r="G247" s="337">
        <v>520</v>
      </c>
      <c r="H247" s="344">
        <v>130000000</v>
      </c>
      <c r="I247" s="344">
        <f>96565185+22411982</f>
        <v>118977167</v>
      </c>
      <c r="J247" s="340" t="s">
        <v>1647</v>
      </c>
      <c r="K247" s="337" t="s">
        <v>410</v>
      </c>
      <c r="L247" s="337">
        <v>1</v>
      </c>
      <c r="M247" s="343">
        <v>1</v>
      </c>
    </row>
    <row r="248" spans="1:13" ht="71.25" customHeight="1" thickTop="1" thickBot="1" x14ac:dyDescent="0.3">
      <c r="A248" s="366" t="s">
        <v>1644</v>
      </c>
      <c r="B248" s="366" t="s">
        <v>1491</v>
      </c>
      <c r="C248" s="676"/>
      <c r="D248" s="337">
        <v>2</v>
      </c>
      <c r="E248" s="337">
        <v>30</v>
      </c>
      <c r="F248" s="337">
        <v>3</v>
      </c>
      <c r="G248" s="337">
        <v>520</v>
      </c>
      <c r="H248" s="344">
        <f>245000000+230237120</f>
        <v>475237120</v>
      </c>
      <c r="I248" s="344">
        <f>378426275+140000+22795490+22795490</f>
        <v>424157255</v>
      </c>
      <c r="J248" s="340" t="s">
        <v>1648</v>
      </c>
      <c r="K248" s="337" t="s">
        <v>55</v>
      </c>
      <c r="L248" s="337">
        <v>5</v>
      </c>
      <c r="M248" s="343">
        <v>4</v>
      </c>
    </row>
    <row r="249" spans="1:13" ht="34.5" customHeight="1" thickTop="1" thickBot="1" x14ac:dyDescent="0.3">
      <c r="A249" s="366" t="s">
        <v>1644</v>
      </c>
      <c r="B249" s="366" t="s">
        <v>1491</v>
      </c>
      <c r="C249" s="676"/>
      <c r="D249" s="337">
        <v>2</v>
      </c>
      <c r="E249" s="337">
        <v>30</v>
      </c>
      <c r="F249" s="337">
        <v>3</v>
      </c>
      <c r="G249" s="337">
        <v>520</v>
      </c>
      <c r="H249" s="344">
        <v>140000000</v>
      </c>
      <c r="I249" s="344">
        <v>0</v>
      </c>
      <c r="J249" s="340" t="s">
        <v>1649</v>
      </c>
      <c r="K249" s="337" t="s">
        <v>55</v>
      </c>
      <c r="L249" s="337">
        <v>1</v>
      </c>
      <c r="M249" s="343">
        <v>0</v>
      </c>
    </row>
    <row r="250" spans="1:13" ht="34.5" customHeight="1" thickTop="1" thickBot="1" x14ac:dyDescent="0.3">
      <c r="A250" s="366" t="s">
        <v>1644</v>
      </c>
      <c r="B250" s="366" t="s">
        <v>1491</v>
      </c>
      <c r="C250" s="676"/>
      <c r="D250" s="337">
        <v>2</v>
      </c>
      <c r="E250" s="337">
        <v>30</v>
      </c>
      <c r="F250" s="337">
        <v>3</v>
      </c>
      <c r="G250" s="337">
        <v>520</v>
      </c>
      <c r="H250" s="344">
        <v>89822977</v>
      </c>
      <c r="I250" s="344">
        <v>0</v>
      </c>
      <c r="J250" s="340" t="s">
        <v>1650</v>
      </c>
      <c r="K250" s="337" t="s">
        <v>55</v>
      </c>
      <c r="L250" s="337">
        <v>1</v>
      </c>
      <c r="M250" s="343">
        <v>0</v>
      </c>
    </row>
    <row r="251" spans="1:13" ht="36.75" customHeight="1" thickTop="1" thickBot="1" x14ac:dyDescent="0.3">
      <c r="A251" s="366" t="s">
        <v>1644</v>
      </c>
      <c r="B251" s="366" t="s">
        <v>1491</v>
      </c>
      <c r="C251" s="676"/>
      <c r="D251" s="337">
        <v>2</v>
      </c>
      <c r="E251" s="337">
        <v>30</v>
      </c>
      <c r="F251" s="337">
        <v>3</v>
      </c>
      <c r="G251" s="337">
        <v>520</v>
      </c>
      <c r="H251" s="344">
        <v>40000000</v>
      </c>
      <c r="I251" s="344">
        <v>0</v>
      </c>
      <c r="J251" s="340" t="s">
        <v>1651</v>
      </c>
      <c r="K251" s="337" t="s">
        <v>25</v>
      </c>
      <c r="L251" s="337">
        <v>1</v>
      </c>
      <c r="M251" s="343">
        <v>0</v>
      </c>
    </row>
    <row r="252" spans="1:13" ht="49.5" customHeight="1" thickTop="1" thickBot="1" x14ac:dyDescent="0.3">
      <c r="A252" s="366" t="s">
        <v>1644</v>
      </c>
      <c r="B252" s="366" t="s">
        <v>1491</v>
      </c>
      <c r="C252" s="676"/>
      <c r="D252" s="337">
        <v>2</v>
      </c>
      <c r="E252" s="337">
        <v>30</v>
      </c>
      <c r="F252" s="337">
        <v>3</v>
      </c>
      <c r="G252" s="337">
        <v>520</v>
      </c>
      <c r="H252" s="344">
        <f>500000000+30000000</f>
        <v>530000000</v>
      </c>
      <c r="I252" s="344">
        <f>107862642+22982296+109999729+143818280+29935379+5745574+86418840</f>
        <v>506762740</v>
      </c>
      <c r="J252" s="350" t="s">
        <v>1652</v>
      </c>
      <c r="K252" s="337" t="s">
        <v>55</v>
      </c>
      <c r="L252" s="337">
        <v>16</v>
      </c>
      <c r="M252" s="343">
        <v>12</v>
      </c>
    </row>
    <row r="253" spans="1:13" ht="104.25" customHeight="1" thickTop="1" thickBot="1" x14ac:dyDescent="0.3">
      <c r="A253" s="366" t="s">
        <v>1644</v>
      </c>
      <c r="B253" s="366" t="s">
        <v>1491</v>
      </c>
      <c r="C253" s="677"/>
      <c r="D253" s="337">
        <v>2</v>
      </c>
      <c r="E253" s="337">
        <v>30</v>
      </c>
      <c r="F253" s="337">
        <v>3</v>
      </c>
      <c r="G253" s="337">
        <v>520</v>
      </c>
      <c r="H253" s="344">
        <f>240000000+35000000</f>
        <v>275000000</v>
      </c>
      <c r="I253" s="344">
        <f>74334000+35661150+31903266+616000</f>
        <v>142514416</v>
      </c>
      <c r="J253" s="350" t="s">
        <v>2025</v>
      </c>
      <c r="K253" s="337" t="s">
        <v>25</v>
      </c>
      <c r="L253" s="337">
        <v>7</v>
      </c>
      <c r="M253" s="343">
        <v>4</v>
      </c>
    </row>
    <row r="254" spans="1:13" ht="42" customHeight="1" thickTop="1" thickBot="1" x14ac:dyDescent="0.3">
      <c r="A254" s="366" t="s">
        <v>1644</v>
      </c>
      <c r="B254" s="366" t="s">
        <v>1491</v>
      </c>
      <c r="C254" s="366" t="s">
        <v>440</v>
      </c>
      <c r="D254" s="337">
        <v>2</v>
      </c>
      <c r="E254" s="337">
        <v>30</v>
      </c>
      <c r="F254" s="337">
        <v>3</v>
      </c>
      <c r="G254" s="337">
        <v>520</v>
      </c>
      <c r="H254" s="344">
        <v>140000000</v>
      </c>
      <c r="I254" s="344">
        <v>0</v>
      </c>
      <c r="J254" s="340" t="s">
        <v>1653</v>
      </c>
      <c r="K254" s="337" t="s">
        <v>11</v>
      </c>
      <c r="L254" s="337">
        <v>127</v>
      </c>
      <c r="M254" s="343">
        <v>0</v>
      </c>
    </row>
    <row r="255" spans="1:13" ht="42" customHeight="1" thickTop="1" thickBot="1" x14ac:dyDescent="0.3">
      <c r="A255" s="366" t="s">
        <v>1644</v>
      </c>
      <c r="B255" s="366" t="s">
        <v>1491</v>
      </c>
      <c r="C255" s="366" t="s">
        <v>105</v>
      </c>
      <c r="D255" s="337">
        <v>2</v>
      </c>
      <c r="E255" s="337">
        <v>30</v>
      </c>
      <c r="F255" s="337">
        <v>3</v>
      </c>
      <c r="G255" s="337">
        <v>540</v>
      </c>
      <c r="H255" s="344">
        <v>163977850</v>
      </c>
      <c r="I255" s="344">
        <v>0</v>
      </c>
      <c r="J255" s="350" t="s">
        <v>2052</v>
      </c>
      <c r="K255" s="337" t="s">
        <v>2084</v>
      </c>
      <c r="L255" s="337">
        <v>1093</v>
      </c>
      <c r="M255" s="343">
        <v>0</v>
      </c>
    </row>
    <row r="256" spans="1:13" ht="16.5" thickTop="1" thickBot="1" x14ac:dyDescent="0.3">
      <c r="H256" s="327"/>
      <c r="I256" s="327"/>
    </row>
    <row r="257" spans="1:13" ht="30" customHeight="1" thickTop="1" thickBot="1" x14ac:dyDescent="0.3">
      <c r="A257" s="639" t="s">
        <v>0</v>
      </c>
      <c r="B257" s="639" t="s">
        <v>1</v>
      </c>
      <c r="C257" s="639" t="s">
        <v>2569</v>
      </c>
      <c r="D257" s="636" t="s">
        <v>1961</v>
      </c>
      <c r="E257" s="637"/>
      <c r="F257" s="637"/>
      <c r="G257" s="638"/>
      <c r="H257" s="636" t="s">
        <v>3</v>
      </c>
      <c r="I257" s="637"/>
      <c r="J257" s="636" t="s">
        <v>1962</v>
      </c>
      <c r="K257" s="637"/>
      <c r="L257" s="637"/>
      <c r="M257" s="638"/>
    </row>
    <row r="258" spans="1:13" ht="34.5" customHeight="1" thickTop="1" thickBot="1" x14ac:dyDescent="0.3">
      <c r="A258" s="661"/>
      <c r="B258" s="661"/>
      <c r="C258" s="661"/>
      <c r="D258" s="321" t="s">
        <v>4</v>
      </c>
      <c r="E258" s="321" t="s">
        <v>5</v>
      </c>
      <c r="F258" s="321" t="s">
        <v>6</v>
      </c>
      <c r="G258" s="321" t="s">
        <v>7</v>
      </c>
      <c r="H258" s="321" t="s">
        <v>2</v>
      </c>
      <c r="I258" s="321" t="s">
        <v>3</v>
      </c>
      <c r="J258" s="209" t="s">
        <v>8</v>
      </c>
      <c r="K258" s="317" t="s">
        <v>9</v>
      </c>
      <c r="L258" s="317" t="s">
        <v>1963</v>
      </c>
      <c r="M258" s="317" t="s">
        <v>1964</v>
      </c>
    </row>
    <row r="259" spans="1:13" ht="27.75" customHeight="1" thickTop="1" thickBot="1" x14ac:dyDescent="0.3">
      <c r="A259" s="364" t="s">
        <v>1654</v>
      </c>
      <c r="B259" s="364" t="s">
        <v>1491</v>
      </c>
      <c r="C259" s="654" t="s">
        <v>18</v>
      </c>
      <c r="D259" s="659">
        <v>2</v>
      </c>
      <c r="E259" s="659">
        <v>30</v>
      </c>
      <c r="F259" s="659">
        <v>3</v>
      </c>
      <c r="G259" s="659">
        <v>848</v>
      </c>
      <c r="H259" s="656">
        <v>606902438</v>
      </c>
      <c r="I259" s="656">
        <v>250095468</v>
      </c>
      <c r="J259" s="252" t="s">
        <v>2013</v>
      </c>
      <c r="K259" s="326" t="s">
        <v>75</v>
      </c>
      <c r="L259" s="326">
        <v>30000</v>
      </c>
      <c r="M259" s="326">
        <v>26188</v>
      </c>
    </row>
    <row r="260" spans="1:13" ht="39" customHeight="1" thickTop="1" thickBot="1" x14ac:dyDescent="0.3">
      <c r="A260" s="364" t="s">
        <v>1654</v>
      </c>
      <c r="B260" s="364" t="s">
        <v>1491</v>
      </c>
      <c r="C260" s="654"/>
      <c r="D260" s="659"/>
      <c r="E260" s="659"/>
      <c r="F260" s="659"/>
      <c r="G260" s="659"/>
      <c r="H260" s="656"/>
      <c r="I260" s="656"/>
      <c r="J260" s="325" t="s">
        <v>1655</v>
      </c>
      <c r="K260" s="326" t="s">
        <v>20</v>
      </c>
      <c r="L260" s="326">
        <v>290</v>
      </c>
      <c r="M260" s="326">
        <v>290</v>
      </c>
    </row>
    <row r="261" spans="1:13" ht="30" customHeight="1" thickTop="1" thickBot="1" x14ac:dyDescent="0.3">
      <c r="A261" s="364" t="s">
        <v>1654</v>
      </c>
      <c r="B261" s="364" t="s">
        <v>1491</v>
      </c>
      <c r="C261" s="654" t="s">
        <v>53</v>
      </c>
      <c r="D261" s="326">
        <v>3</v>
      </c>
      <c r="E261" s="326">
        <v>30</v>
      </c>
      <c r="F261" s="326">
        <v>3</v>
      </c>
      <c r="G261" s="326">
        <v>520</v>
      </c>
      <c r="H261" s="324">
        <v>200000000</v>
      </c>
      <c r="I261" s="324">
        <v>122137600</v>
      </c>
      <c r="J261" s="252" t="s">
        <v>1656</v>
      </c>
      <c r="K261" s="326" t="s">
        <v>158</v>
      </c>
      <c r="L261" s="326">
        <v>4000</v>
      </c>
      <c r="M261" s="326">
        <v>3008</v>
      </c>
    </row>
    <row r="262" spans="1:13" ht="30" customHeight="1" thickTop="1" thickBot="1" x14ac:dyDescent="0.3">
      <c r="A262" s="364" t="s">
        <v>1654</v>
      </c>
      <c r="B262" s="364" t="s">
        <v>1491</v>
      </c>
      <c r="C262" s="654"/>
      <c r="D262" s="326">
        <v>3</v>
      </c>
      <c r="E262" s="326">
        <v>30</v>
      </c>
      <c r="F262" s="326">
        <v>3</v>
      </c>
      <c r="G262" s="326">
        <v>520</v>
      </c>
      <c r="H262" s="324">
        <v>198243210</v>
      </c>
      <c r="I262" s="324">
        <v>121832520</v>
      </c>
      <c r="J262" s="252" t="s">
        <v>2026</v>
      </c>
      <c r="K262" s="326" t="s">
        <v>13</v>
      </c>
      <c r="L262" s="326">
        <v>2</v>
      </c>
      <c r="M262" s="326">
        <v>0</v>
      </c>
    </row>
    <row r="263" spans="1:13" ht="30" customHeight="1" thickTop="1" thickBot="1" x14ac:dyDescent="0.3">
      <c r="A263" s="364" t="s">
        <v>1654</v>
      </c>
      <c r="B263" s="364" t="s">
        <v>1491</v>
      </c>
      <c r="C263" s="654"/>
      <c r="D263" s="326">
        <v>3</v>
      </c>
      <c r="E263" s="326">
        <v>30</v>
      </c>
      <c r="F263" s="326">
        <v>3</v>
      </c>
      <c r="G263" s="326">
        <v>520</v>
      </c>
      <c r="H263" s="324">
        <v>270000000</v>
      </c>
      <c r="I263" s="324">
        <v>268915000</v>
      </c>
      <c r="J263" s="252" t="s">
        <v>1657</v>
      </c>
      <c r="K263" s="326" t="s">
        <v>13</v>
      </c>
      <c r="L263" s="326">
        <v>4</v>
      </c>
      <c r="M263" s="326">
        <v>0</v>
      </c>
    </row>
    <row r="264" spans="1:13" ht="30" customHeight="1" thickTop="1" thickBot="1" x14ac:dyDescent="0.3">
      <c r="A264" s="364" t="s">
        <v>1654</v>
      </c>
      <c r="B264" s="364" t="s">
        <v>1491</v>
      </c>
      <c r="C264" s="654"/>
      <c r="D264" s="326">
        <v>3</v>
      </c>
      <c r="E264" s="326">
        <v>30</v>
      </c>
      <c r="F264" s="326">
        <v>3</v>
      </c>
      <c r="G264" s="326">
        <v>520</v>
      </c>
      <c r="H264" s="324">
        <v>350000000</v>
      </c>
      <c r="I264" s="324">
        <v>313188868</v>
      </c>
      <c r="J264" s="252" t="s">
        <v>1658</v>
      </c>
      <c r="K264" s="326" t="s">
        <v>13</v>
      </c>
      <c r="L264" s="326">
        <v>4</v>
      </c>
      <c r="M264" s="326">
        <v>4</v>
      </c>
    </row>
    <row r="265" spans="1:13" ht="35.25" thickTop="1" thickBot="1" x14ac:dyDescent="0.3">
      <c r="A265" s="364" t="s">
        <v>1654</v>
      </c>
      <c r="B265" s="364" t="s">
        <v>1491</v>
      </c>
      <c r="C265" s="654"/>
      <c r="D265" s="326">
        <v>3</v>
      </c>
      <c r="E265" s="326">
        <v>30</v>
      </c>
      <c r="F265" s="326">
        <v>3</v>
      </c>
      <c r="G265" s="326">
        <v>520</v>
      </c>
      <c r="H265" s="324">
        <v>405000000</v>
      </c>
      <c r="I265" s="324">
        <v>401465200</v>
      </c>
      <c r="J265" s="252" t="s">
        <v>1659</v>
      </c>
      <c r="K265" s="326" t="s">
        <v>13</v>
      </c>
      <c r="L265" s="326">
        <v>3</v>
      </c>
      <c r="M265" s="326">
        <v>2</v>
      </c>
    </row>
    <row r="266" spans="1:13" ht="48.75" customHeight="1" thickTop="1" thickBot="1" x14ac:dyDescent="0.3">
      <c r="A266" s="364" t="s">
        <v>1654</v>
      </c>
      <c r="B266" s="364" t="s">
        <v>1491</v>
      </c>
      <c r="C266" s="364" t="s">
        <v>53</v>
      </c>
      <c r="D266" s="326">
        <v>3</v>
      </c>
      <c r="E266" s="326">
        <v>30</v>
      </c>
      <c r="F266" s="326">
        <v>3</v>
      </c>
      <c r="G266" s="326">
        <v>980</v>
      </c>
      <c r="H266" s="324">
        <v>93162244</v>
      </c>
      <c r="I266" s="324">
        <v>93162244</v>
      </c>
      <c r="J266" s="252" t="s">
        <v>2018</v>
      </c>
      <c r="K266" s="326" t="s">
        <v>16</v>
      </c>
      <c r="L266" s="326">
        <v>1</v>
      </c>
      <c r="M266" s="326">
        <v>1</v>
      </c>
    </row>
    <row r="267" spans="1:13" ht="16.5" thickTop="1" thickBot="1" x14ac:dyDescent="0.3">
      <c r="H267" s="327"/>
      <c r="I267" s="327"/>
    </row>
    <row r="268" spans="1:13" ht="30" customHeight="1" thickTop="1" thickBot="1" x14ac:dyDescent="0.3">
      <c r="A268" s="639" t="s">
        <v>0</v>
      </c>
      <c r="B268" s="639" t="s">
        <v>1</v>
      </c>
      <c r="C268" s="639" t="s">
        <v>2569</v>
      </c>
      <c r="D268" s="636" t="s">
        <v>1961</v>
      </c>
      <c r="E268" s="637"/>
      <c r="F268" s="637"/>
      <c r="G268" s="638"/>
      <c r="H268" s="636" t="s">
        <v>3</v>
      </c>
      <c r="I268" s="637"/>
      <c r="J268" s="636" t="s">
        <v>1962</v>
      </c>
      <c r="K268" s="637"/>
      <c r="L268" s="637"/>
      <c r="M268" s="638"/>
    </row>
    <row r="269" spans="1:13" ht="34.5" customHeight="1" thickTop="1" thickBot="1" x14ac:dyDescent="0.3">
      <c r="A269" s="661"/>
      <c r="B269" s="661"/>
      <c r="C269" s="661"/>
      <c r="D269" s="321" t="s">
        <v>4</v>
      </c>
      <c r="E269" s="321" t="s">
        <v>5</v>
      </c>
      <c r="F269" s="321" t="s">
        <v>6</v>
      </c>
      <c r="G269" s="321" t="s">
        <v>7</v>
      </c>
      <c r="H269" s="321" t="s">
        <v>2</v>
      </c>
      <c r="I269" s="321" t="s">
        <v>3</v>
      </c>
      <c r="J269" s="209" t="s">
        <v>8</v>
      </c>
      <c r="K269" s="317" t="s">
        <v>9</v>
      </c>
      <c r="L269" s="317" t="s">
        <v>1963</v>
      </c>
      <c r="M269" s="317" t="s">
        <v>1964</v>
      </c>
    </row>
    <row r="270" spans="1:13" ht="46.5" thickTop="1" thickBot="1" x14ac:dyDescent="0.3">
      <c r="A270" s="366" t="s">
        <v>1660</v>
      </c>
      <c r="B270" s="366" t="s">
        <v>1491</v>
      </c>
      <c r="C270" s="366" t="s">
        <v>18</v>
      </c>
      <c r="D270" s="335">
        <v>2</v>
      </c>
      <c r="E270" s="335">
        <v>30</v>
      </c>
      <c r="F270" s="353" t="s">
        <v>297</v>
      </c>
      <c r="G270" s="353" t="s">
        <v>1592</v>
      </c>
      <c r="H270" s="346">
        <v>737273492</v>
      </c>
      <c r="I270" s="346">
        <v>599982210</v>
      </c>
      <c r="J270" s="340" t="s">
        <v>1664</v>
      </c>
      <c r="K270" s="337" t="s">
        <v>20</v>
      </c>
      <c r="L270" s="330">
        <v>2606</v>
      </c>
      <c r="M270" s="330">
        <v>2100</v>
      </c>
    </row>
    <row r="271" spans="1:13" ht="30.75" customHeight="1" thickTop="1" thickBot="1" x14ac:dyDescent="0.3">
      <c r="A271" s="366" t="s">
        <v>1660</v>
      </c>
      <c r="B271" s="366" t="s">
        <v>1491</v>
      </c>
      <c r="C271" s="675" t="s">
        <v>53</v>
      </c>
      <c r="D271" s="335">
        <v>2</v>
      </c>
      <c r="E271" s="335">
        <v>30</v>
      </c>
      <c r="F271" s="353" t="s">
        <v>297</v>
      </c>
      <c r="G271" s="353" t="s">
        <v>1661</v>
      </c>
      <c r="H271" s="346">
        <v>1700000000</v>
      </c>
      <c r="I271" s="346">
        <v>1055227191</v>
      </c>
      <c r="J271" s="340" t="s">
        <v>2027</v>
      </c>
      <c r="K271" s="337" t="s">
        <v>55</v>
      </c>
      <c r="L271" s="343" t="s">
        <v>1665</v>
      </c>
      <c r="M271" s="343" t="s">
        <v>1663</v>
      </c>
    </row>
    <row r="272" spans="1:13" ht="30.75" customHeight="1" thickTop="1" thickBot="1" x14ac:dyDescent="0.3">
      <c r="A272" s="366" t="s">
        <v>1660</v>
      </c>
      <c r="B272" s="366" t="s">
        <v>1491</v>
      </c>
      <c r="C272" s="677"/>
      <c r="D272" s="335">
        <v>2</v>
      </c>
      <c r="E272" s="335">
        <v>30</v>
      </c>
      <c r="F272" s="353" t="s">
        <v>297</v>
      </c>
      <c r="G272" s="353" t="s">
        <v>1661</v>
      </c>
      <c r="H272" s="346">
        <v>987165361</v>
      </c>
      <c r="I272" s="346">
        <v>278000000</v>
      </c>
      <c r="J272" s="340" t="s">
        <v>2053</v>
      </c>
      <c r="K272" s="337" t="s">
        <v>25</v>
      </c>
      <c r="L272" s="343" t="s">
        <v>1666</v>
      </c>
      <c r="M272" s="343" t="s">
        <v>303</v>
      </c>
    </row>
    <row r="273" spans="1:13" ht="38.25" customHeight="1" thickTop="1" thickBot="1" x14ac:dyDescent="0.3">
      <c r="A273" s="366" t="s">
        <v>1660</v>
      </c>
      <c r="B273" s="366" t="s">
        <v>1491</v>
      </c>
      <c r="C273" s="366" t="s">
        <v>2031</v>
      </c>
      <c r="D273" s="335">
        <v>2</v>
      </c>
      <c r="E273" s="335">
        <v>30</v>
      </c>
      <c r="F273" s="353" t="s">
        <v>297</v>
      </c>
      <c r="G273" s="353" t="s">
        <v>1661</v>
      </c>
      <c r="H273" s="346">
        <v>671791340</v>
      </c>
      <c r="I273" s="346">
        <v>210050000</v>
      </c>
      <c r="J273" s="340" t="s">
        <v>2028</v>
      </c>
      <c r="K273" s="337" t="s">
        <v>11</v>
      </c>
      <c r="L273" s="343">
        <v>15000</v>
      </c>
      <c r="M273" s="343">
        <v>5000</v>
      </c>
    </row>
    <row r="274" spans="1:13" ht="36.75" customHeight="1" thickTop="1" thickBot="1" x14ac:dyDescent="0.3">
      <c r="A274" s="366" t="s">
        <v>1660</v>
      </c>
      <c r="B274" s="366" t="s">
        <v>1491</v>
      </c>
      <c r="C274" s="366" t="s">
        <v>105</v>
      </c>
      <c r="D274" s="335">
        <v>3</v>
      </c>
      <c r="E274" s="335">
        <v>30</v>
      </c>
      <c r="F274" s="353" t="s">
        <v>297</v>
      </c>
      <c r="G274" s="353" t="s">
        <v>1558</v>
      </c>
      <c r="H274" s="346">
        <v>100000000</v>
      </c>
      <c r="I274" s="346">
        <v>0</v>
      </c>
      <c r="J274" s="340" t="s">
        <v>1667</v>
      </c>
      <c r="K274" s="337" t="s">
        <v>44</v>
      </c>
      <c r="L274" s="343" t="s">
        <v>1668</v>
      </c>
      <c r="M274" s="343" t="s">
        <v>654</v>
      </c>
    </row>
    <row r="275" spans="1:13" ht="16.5" thickTop="1" thickBot="1" x14ac:dyDescent="0.3">
      <c r="H275" s="327"/>
      <c r="I275" s="327"/>
    </row>
    <row r="276" spans="1:13" ht="30" customHeight="1" thickTop="1" thickBot="1" x14ac:dyDescent="0.3">
      <c r="A276" s="639" t="s">
        <v>0</v>
      </c>
      <c r="B276" s="639" t="s">
        <v>1</v>
      </c>
      <c r="C276" s="639" t="s">
        <v>2569</v>
      </c>
      <c r="D276" s="636" t="s">
        <v>1961</v>
      </c>
      <c r="E276" s="637"/>
      <c r="F276" s="637"/>
      <c r="G276" s="638"/>
      <c r="H276" s="636" t="s">
        <v>3</v>
      </c>
      <c r="I276" s="637"/>
      <c r="J276" s="636" t="s">
        <v>1962</v>
      </c>
      <c r="K276" s="637"/>
      <c r="L276" s="637"/>
      <c r="M276" s="638"/>
    </row>
    <row r="277" spans="1:13" ht="34.5" customHeight="1" thickTop="1" thickBot="1" x14ac:dyDescent="0.3">
      <c r="A277" s="661"/>
      <c r="B277" s="661"/>
      <c r="C277" s="661"/>
      <c r="D277" s="321" t="s">
        <v>4</v>
      </c>
      <c r="E277" s="321" t="s">
        <v>5</v>
      </c>
      <c r="F277" s="321" t="s">
        <v>6</v>
      </c>
      <c r="G277" s="321" t="s">
        <v>7</v>
      </c>
      <c r="H277" s="321" t="s">
        <v>2</v>
      </c>
      <c r="I277" s="321" t="s">
        <v>3</v>
      </c>
      <c r="J277" s="209" t="s">
        <v>8</v>
      </c>
      <c r="K277" s="317" t="s">
        <v>9</v>
      </c>
      <c r="L277" s="317" t="s">
        <v>1963</v>
      </c>
      <c r="M277" s="317" t="s">
        <v>1964</v>
      </c>
    </row>
    <row r="278" spans="1:13" ht="33.75" customHeight="1" thickTop="1" thickBot="1" x14ac:dyDescent="0.3">
      <c r="A278" s="338" t="s">
        <v>1669</v>
      </c>
      <c r="B278" s="338" t="s">
        <v>1491</v>
      </c>
      <c r="C278" s="682" t="s">
        <v>18</v>
      </c>
      <c r="D278" s="680">
        <v>3</v>
      </c>
      <c r="E278" s="680">
        <v>30</v>
      </c>
      <c r="F278" s="680">
        <v>3</v>
      </c>
      <c r="G278" s="681">
        <v>848</v>
      </c>
      <c r="H278" s="344">
        <v>559590003</v>
      </c>
      <c r="I278" s="344">
        <f>151826745+373060002</f>
        <v>524886747</v>
      </c>
      <c r="J278" s="340" t="s">
        <v>2054</v>
      </c>
      <c r="K278" s="337" t="s">
        <v>20</v>
      </c>
      <c r="L278" s="337">
        <v>493</v>
      </c>
      <c r="M278" s="347">
        <v>493</v>
      </c>
    </row>
    <row r="279" spans="1:13" ht="47.25" customHeight="1" thickTop="1" thickBot="1" x14ac:dyDescent="0.3">
      <c r="A279" s="338" t="s">
        <v>1669</v>
      </c>
      <c r="B279" s="338" t="s">
        <v>1491</v>
      </c>
      <c r="C279" s="683"/>
      <c r="D279" s="680"/>
      <c r="E279" s="680"/>
      <c r="F279" s="680"/>
      <c r="G279" s="681"/>
      <c r="H279" s="344">
        <v>259315357</v>
      </c>
      <c r="I279" s="344">
        <v>201210088</v>
      </c>
      <c r="J279" s="340" t="s">
        <v>2014</v>
      </c>
      <c r="K279" s="337" t="s">
        <v>20</v>
      </c>
      <c r="L279" s="337">
        <v>412</v>
      </c>
      <c r="M279" s="347">
        <v>412</v>
      </c>
    </row>
    <row r="280" spans="1:13" ht="33" customHeight="1" thickTop="1" thickBot="1" x14ac:dyDescent="0.3">
      <c r="A280" s="338" t="s">
        <v>1669</v>
      </c>
      <c r="B280" s="338" t="s">
        <v>1491</v>
      </c>
      <c r="C280" s="675" t="s">
        <v>53</v>
      </c>
      <c r="D280" s="356">
        <v>3</v>
      </c>
      <c r="E280" s="356">
        <v>30</v>
      </c>
      <c r="F280" s="356">
        <v>3</v>
      </c>
      <c r="G280" s="356">
        <v>520</v>
      </c>
      <c r="H280" s="344">
        <v>1705958758</v>
      </c>
      <c r="I280" s="344">
        <f>626271425+32961653</f>
        <v>659233078</v>
      </c>
      <c r="J280" s="340" t="s">
        <v>1670</v>
      </c>
      <c r="K280" s="337" t="s">
        <v>55</v>
      </c>
      <c r="L280" s="337">
        <v>23</v>
      </c>
      <c r="M280" s="347">
        <v>10</v>
      </c>
    </row>
    <row r="281" spans="1:13" ht="33.75" customHeight="1" thickTop="1" thickBot="1" x14ac:dyDescent="0.3">
      <c r="A281" s="338" t="s">
        <v>1669</v>
      </c>
      <c r="B281" s="338" t="s">
        <v>1491</v>
      </c>
      <c r="C281" s="676"/>
      <c r="D281" s="356">
        <v>3</v>
      </c>
      <c r="E281" s="356">
        <v>30</v>
      </c>
      <c r="F281" s="356">
        <v>3</v>
      </c>
      <c r="G281" s="356">
        <v>520</v>
      </c>
      <c r="H281" s="344">
        <f>420000000+224352230</f>
        <v>644352230</v>
      </c>
      <c r="I281" s="344">
        <f>112963212+5945432</f>
        <v>118908644</v>
      </c>
      <c r="J281" s="340" t="s">
        <v>2029</v>
      </c>
      <c r="K281" s="337" t="s">
        <v>25</v>
      </c>
      <c r="L281" s="337">
        <v>10</v>
      </c>
      <c r="M281" s="347">
        <v>2</v>
      </c>
    </row>
    <row r="282" spans="1:13" ht="33.75" customHeight="1" thickTop="1" thickBot="1" x14ac:dyDescent="0.3">
      <c r="A282" s="338" t="s">
        <v>1669</v>
      </c>
      <c r="B282" s="338" t="s">
        <v>1491</v>
      </c>
      <c r="C282" s="676"/>
      <c r="D282" s="356">
        <v>3</v>
      </c>
      <c r="E282" s="356">
        <v>30</v>
      </c>
      <c r="F282" s="356">
        <v>3</v>
      </c>
      <c r="G282" s="356">
        <v>520</v>
      </c>
      <c r="H282" s="344">
        <f>1090766920+618790759-400000000</f>
        <v>1309557679</v>
      </c>
      <c r="I282" s="344">
        <f>587851221+30939538</f>
        <v>618790759</v>
      </c>
      <c r="J282" s="340" t="s">
        <v>1671</v>
      </c>
      <c r="K282" s="337" t="s">
        <v>55</v>
      </c>
      <c r="L282" s="337">
        <v>38</v>
      </c>
      <c r="M282" s="347">
        <v>15</v>
      </c>
    </row>
    <row r="283" spans="1:13" ht="33.75" customHeight="1" thickTop="1" thickBot="1" x14ac:dyDescent="0.3">
      <c r="A283" s="338" t="s">
        <v>1669</v>
      </c>
      <c r="B283" s="338" t="s">
        <v>1491</v>
      </c>
      <c r="C283" s="676"/>
      <c r="D283" s="356">
        <v>3</v>
      </c>
      <c r="E283" s="356">
        <v>30</v>
      </c>
      <c r="F283" s="356">
        <v>3</v>
      </c>
      <c r="G283" s="356">
        <v>520</v>
      </c>
      <c r="H283" s="344">
        <v>170000000</v>
      </c>
      <c r="I283" s="344">
        <f>145898414+7678864</f>
        <v>153577278</v>
      </c>
      <c r="J283" s="340" t="s">
        <v>1672</v>
      </c>
      <c r="K283" s="337" t="s">
        <v>13</v>
      </c>
      <c r="L283" s="337">
        <v>1</v>
      </c>
      <c r="M283" s="347">
        <v>1</v>
      </c>
    </row>
    <row r="284" spans="1:13" ht="33" customHeight="1" thickTop="1" thickBot="1" x14ac:dyDescent="0.3">
      <c r="A284" s="338" t="s">
        <v>1669</v>
      </c>
      <c r="B284" s="338" t="s">
        <v>1491</v>
      </c>
      <c r="C284" s="676"/>
      <c r="D284" s="356">
        <v>3</v>
      </c>
      <c r="E284" s="356">
        <v>30</v>
      </c>
      <c r="F284" s="356">
        <v>3</v>
      </c>
      <c r="G284" s="356">
        <v>520</v>
      </c>
      <c r="H284" s="344">
        <v>175647770</v>
      </c>
      <c r="I284" s="344">
        <f>24365365+1282389</f>
        <v>25647754</v>
      </c>
      <c r="J284" s="340" t="s">
        <v>1673</v>
      </c>
      <c r="K284" s="337" t="s">
        <v>25</v>
      </c>
      <c r="L284" s="337">
        <v>10</v>
      </c>
      <c r="M284" s="347">
        <v>2</v>
      </c>
    </row>
    <row r="285" spans="1:13" ht="37.5" customHeight="1" thickTop="1" thickBot="1" x14ac:dyDescent="0.3">
      <c r="A285" s="338" t="s">
        <v>1669</v>
      </c>
      <c r="B285" s="338" t="s">
        <v>1491</v>
      </c>
      <c r="C285" s="677"/>
      <c r="D285" s="356">
        <v>3</v>
      </c>
      <c r="E285" s="356">
        <v>30</v>
      </c>
      <c r="F285" s="356">
        <v>3</v>
      </c>
      <c r="G285" s="356">
        <v>520</v>
      </c>
      <c r="H285" s="344">
        <v>188628345</v>
      </c>
      <c r="I285" s="344">
        <v>144929063</v>
      </c>
      <c r="J285" s="340" t="s">
        <v>1674</v>
      </c>
      <c r="K285" s="337" t="s">
        <v>13</v>
      </c>
      <c r="L285" s="337">
        <v>1</v>
      </c>
      <c r="M285" s="347">
        <v>1</v>
      </c>
    </row>
    <row r="286" spans="1:13" ht="40.5" customHeight="1" thickTop="1" thickBot="1" x14ac:dyDescent="0.3">
      <c r="A286" s="338" t="s">
        <v>1669</v>
      </c>
      <c r="B286" s="338" t="s">
        <v>1491</v>
      </c>
      <c r="C286" s="338" t="s">
        <v>105</v>
      </c>
      <c r="D286" s="356">
        <v>3</v>
      </c>
      <c r="E286" s="356">
        <v>30</v>
      </c>
      <c r="F286" s="356">
        <v>3</v>
      </c>
      <c r="G286" s="356">
        <v>530</v>
      </c>
      <c r="H286" s="344">
        <v>220000000</v>
      </c>
      <c r="I286" s="344">
        <v>204534000</v>
      </c>
      <c r="J286" s="340" t="s">
        <v>1675</v>
      </c>
      <c r="K286" s="337" t="s">
        <v>107</v>
      </c>
      <c r="L286" s="337">
        <v>1060</v>
      </c>
      <c r="M286" s="347">
        <v>1011</v>
      </c>
    </row>
    <row r="287" spans="1:13" ht="16.5" thickTop="1" thickBot="1" x14ac:dyDescent="0.3">
      <c r="H287" s="327"/>
      <c r="I287" s="327"/>
    </row>
    <row r="288" spans="1:13" ht="30" customHeight="1" thickTop="1" thickBot="1" x14ac:dyDescent="0.3">
      <c r="A288" s="639" t="s">
        <v>0</v>
      </c>
      <c r="B288" s="639" t="s">
        <v>1</v>
      </c>
      <c r="C288" s="639" t="s">
        <v>2569</v>
      </c>
      <c r="D288" s="636" t="s">
        <v>1961</v>
      </c>
      <c r="E288" s="637"/>
      <c r="F288" s="637"/>
      <c r="G288" s="638"/>
      <c r="H288" s="636" t="s">
        <v>3</v>
      </c>
      <c r="I288" s="637"/>
      <c r="J288" s="636" t="s">
        <v>1962</v>
      </c>
      <c r="K288" s="637"/>
      <c r="L288" s="637"/>
      <c r="M288" s="638"/>
    </row>
    <row r="289" spans="1:13" ht="34.5" customHeight="1" thickTop="1" thickBot="1" x14ac:dyDescent="0.3">
      <c r="A289" s="640"/>
      <c r="B289" s="640"/>
      <c r="C289" s="640"/>
      <c r="D289" s="209" t="s">
        <v>4</v>
      </c>
      <c r="E289" s="209" t="s">
        <v>5</v>
      </c>
      <c r="F289" s="209" t="s">
        <v>6</v>
      </c>
      <c r="G289" s="209" t="s">
        <v>7</v>
      </c>
      <c r="H289" s="209" t="s">
        <v>2</v>
      </c>
      <c r="I289" s="209" t="s">
        <v>3</v>
      </c>
      <c r="J289" s="209" t="s">
        <v>8</v>
      </c>
      <c r="K289" s="317" t="s">
        <v>9</v>
      </c>
      <c r="L289" s="317" t="s">
        <v>1963</v>
      </c>
      <c r="M289" s="317" t="s">
        <v>1964</v>
      </c>
    </row>
    <row r="290" spans="1:13" ht="46.5" thickTop="1" thickBot="1" x14ac:dyDescent="0.3">
      <c r="A290" s="366" t="s">
        <v>2537</v>
      </c>
      <c r="B290" s="366" t="s">
        <v>1491</v>
      </c>
      <c r="C290" s="366" t="s">
        <v>18</v>
      </c>
      <c r="D290" s="355">
        <v>3</v>
      </c>
      <c r="E290" s="355">
        <v>30</v>
      </c>
      <c r="F290" s="355">
        <v>3</v>
      </c>
      <c r="G290" s="355">
        <v>848</v>
      </c>
      <c r="H290" s="344">
        <v>821426189.89999998</v>
      </c>
      <c r="I290" s="344">
        <f>454870080+150522120</f>
        <v>605392200</v>
      </c>
      <c r="J290" s="340" t="s">
        <v>1676</v>
      </c>
      <c r="K290" s="337" t="s">
        <v>20</v>
      </c>
      <c r="L290" s="337">
        <v>1248</v>
      </c>
      <c r="M290" s="347">
        <v>1248</v>
      </c>
    </row>
    <row r="291" spans="1:13" ht="47.25" customHeight="1" thickTop="1" thickBot="1" x14ac:dyDescent="0.3">
      <c r="A291" s="626" t="s">
        <v>2537</v>
      </c>
      <c r="B291" s="366" t="s">
        <v>1491</v>
      </c>
      <c r="C291" s="366" t="s">
        <v>53</v>
      </c>
      <c r="D291" s="355">
        <v>2</v>
      </c>
      <c r="E291" s="355">
        <v>30</v>
      </c>
      <c r="F291" s="355">
        <v>3</v>
      </c>
      <c r="G291" s="355">
        <v>520</v>
      </c>
      <c r="H291" s="344">
        <f>630000000+360037771</f>
        <v>990037771</v>
      </c>
      <c r="I291" s="344">
        <f>442239870+55012546</f>
        <v>497252416</v>
      </c>
      <c r="J291" s="340" t="s">
        <v>1677</v>
      </c>
      <c r="K291" s="337" t="s">
        <v>619</v>
      </c>
      <c r="L291" s="337">
        <v>11</v>
      </c>
      <c r="M291" s="347">
        <v>5</v>
      </c>
    </row>
    <row r="292" spans="1:13" ht="47.25" customHeight="1" thickTop="1" thickBot="1" x14ac:dyDescent="0.3">
      <c r="A292" s="626" t="s">
        <v>2537</v>
      </c>
      <c r="B292" s="366" t="s">
        <v>1491</v>
      </c>
      <c r="C292" s="366" t="s">
        <v>53</v>
      </c>
      <c r="D292" s="355">
        <v>3</v>
      </c>
      <c r="E292" s="355">
        <v>30</v>
      </c>
      <c r="F292" s="355">
        <v>3</v>
      </c>
      <c r="G292" s="355">
        <v>520</v>
      </c>
      <c r="H292" s="344">
        <f>280000000+69000000</f>
        <v>349000000</v>
      </c>
      <c r="I292" s="344">
        <f>216500000+75500000</f>
        <v>292000000</v>
      </c>
      <c r="J292" s="340" t="s">
        <v>1678</v>
      </c>
      <c r="K292" s="337" t="s">
        <v>13</v>
      </c>
      <c r="L292" s="337">
        <v>1</v>
      </c>
      <c r="M292" s="347">
        <v>1</v>
      </c>
    </row>
    <row r="293" spans="1:13" ht="31.5" customHeight="1" thickTop="1" thickBot="1" x14ac:dyDescent="0.3">
      <c r="A293" s="626" t="s">
        <v>2537</v>
      </c>
      <c r="B293" s="366" t="s">
        <v>1491</v>
      </c>
      <c r="C293" s="675" t="s">
        <v>440</v>
      </c>
      <c r="D293" s="355">
        <v>3</v>
      </c>
      <c r="E293" s="355">
        <v>30</v>
      </c>
      <c r="F293" s="355">
        <v>3</v>
      </c>
      <c r="G293" s="355">
        <v>520</v>
      </c>
      <c r="H293" s="344">
        <f>237263004+144015109</f>
        <v>381278113</v>
      </c>
      <c r="I293" s="344">
        <v>75000000</v>
      </c>
      <c r="J293" s="340" t="s">
        <v>1679</v>
      </c>
      <c r="K293" s="337" t="s">
        <v>108</v>
      </c>
      <c r="L293" s="337">
        <v>80</v>
      </c>
      <c r="M293" s="347">
        <v>20</v>
      </c>
    </row>
    <row r="294" spans="1:13" ht="31.5" customHeight="1" thickTop="1" thickBot="1" x14ac:dyDescent="0.3">
      <c r="A294" s="626" t="s">
        <v>2537</v>
      </c>
      <c r="B294" s="366" t="s">
        <v>1491</v>
      </c>
      <c r="C294" s="677"/>
      <c r="D294" s="355">
        <v>3</v>
      </c>
      <c r="E294" s="355">
        <v>30</v>
      </c>
      <c r="F294" s="355">
        <v>3</v>
      </c>
      <c r="G294" s="355">
        <v>980</v>
      </c>
      <c r="H294" s="344">
        <v>196345227</v>
      </c>
      <c r="I294" s="344">
        <v>190396851</v>
      </c>
      <c r="J294" s="340" t="s">
        <v>1680</v>
      </c>
      <c r="K294" s="337" t="s">
        <v>16</v>
      </c>
      <c r="L294" s="337">
        <v>4</v>
      </c>
      <c r="M294" s="347">
        <v>4</v>
      </c>
    </row>
    <row r="295" spans="1:13" ht="16.5" thickTop="1" thickBot="1" x14ac:dyDescent="0.3">
      <c r="H295" s="327"/>
      <c r="I295" s="327"/>
    </row>
    <row r="296" spans="1:13" ht="30" customHeight="1" thickTop="1" thickBot="1" x14ac:dyDescent="0.3">
      <c r="A296" s="639" t="s">
        <v>0</v>
      </c>
      <c r="B296" s="639" t="s">
        <v>1</v>
      </c>
      <c r="C296" s="639" t="s">
        <v>2569</v>
      </c>
      <c r="D296" s="636" t="s">
        <v>1961</v>
      </c>
      <c r="E296" s="637"/>
      <c r="F296" s="637"/>
      <c r="G296" s="638"/>
      <c r="H296" s="636" t="s">
        <v>3</v>
      </c>
      <c r="I296" s="637"/>
      <c r="J296" s="636" t="s">
        <v>1962</v>
      </c>
      <c r="K296" s="637"/>
      <c r="L296" s="637"/>
      <c r="M296" s="638"/>
    </row>
    <row r="297" spans="1:13" ht="34.5" customHeight="1" thickTop="1" thickBot="1" x14ac:dyDescent="0.3">
      <c r="A297" s="661"/>
      <c r="B297" s="661"/>
      <c r="C297" s="661"/>
      <c r="D297" s="321" t="s">
        <v>4</v>
      </c>
      <c r="E297" s="321" t="s">
        <v>5</v>
      </c>
      <c r="F297" s="321" t="s">
        <v>6</v>
      </c>
      <c r="G297" s="321" t="s">
        <v>7</v>
      </c>
      <c r="H297" s="321" t="s">
        <v>2</v>
      </c>
      <c r="I297" s="321" t="s">
        <v>3</v>
      </c>
      <c r="J297" s="209" t="s">
        <v>8</v>
      </c>
      <c r="K297" s="317" t="s">
        <v>9</v>
      </c>
      <c r="L297" s="317" t="s">
        <v>1963</v>
      </c>
      <c r="M297" s="317" t="s">
        <v>1964</v>
      </c>
    </row>
    <row r="298" spans="1:13" ht="48" customHeight="1" thickTop="1" thickBot="1" x14ac:dyDescent="0.3">
      <c r="A298" s="366" t="s">
        <v>1681</v>
      </c>
      <c r="B298" s="366" t="s">
        <v>1491</v>
      </c>
      <c r="C298" s="366" t="s">
        <v>18</v>
      </c>
      <c r="D298" s="335">
        <v>2</v>
      </c>
      <c r="E298" s="335">
        <v>30</v>
      </c>
      <c r="F298" s="335">
        <v>3</v>
      </c>
      <c r="G298" s="335">
        <v>848</v>
      </c>
      <c r="H298" s="354">
        <v>559622075</v>
      </c>
      <c r="I298" s="354">
        <v>367366200</v>
      </c>
      <c r="J298" s="350" t="s">
        <v>2015</v>
      </c>
      <c r="K298" s="343" t="s">
        <v>20</v>
      </c>
      <c r="L298" s="343">
        <v>900</v>
      </c>
      <c r="M298" s="343">
        <v>900</v>
      </c>
    </row>
    <row r="299" spans="1:13" ht="29.25" customHeight="1" thickTop="1" thickBot="1" x14ac:dyDescent="0.3">
      <c r="A299" s="366" t="s">
        <v>1681</v>
      </c>
      <c r="B299" s="366" t="s">
        <v>1491</v>
      </c>
      <c r="C299" s="672" t="s">
        <v>300</v>
      </c>
      <c r="D299" s="335">
        <v>2</v>
      </c>
      <c r="E299" s="335">
        <v>30</v>
      </c>
      <c r="F299" s="335">
        <v>3</v>
      </c>
      <c r="G299" s="335">
        <v>520</v>
      </c>
      <c r="H299" s="354">
        <v>670203458</v>
      </c>
      <c r="I299" s="354">
        <v>425848000</v>
      </c>
      <c r="J299" s="350" t="s">
        <v>1682</v>
      </c>
      <c r="K299" s="352" t="s">
        <v>55</v>
      </c>
      <c r="L299" s="343">
        <v>1</v>
      </c>
      <c r="M299" s="343">
        <v>1</v>
      </c>
    </row>
    <row r="300" spans="1:13" ht="38.25" customHeight="1" thickTop="1" thickBot="1" x14ac:dyDescent="0.3">
      <c r="A300" s="366" t="s">
        <v>1681</v>
      </c>
      <c r="B300" s="366" t="s">
        <v>1491</v>
      </c>
      <c r="C300" s="672"/>
      <c r="D300" s="335">
        <v>2</v>
      </c>
      <c r="E300" s="335">
        <v>30</v>
      </c>
      <c r="F300" s="335">
        <v>3</v>
      </c>
      <c r="G300" s="335">
        <v>520</v>
      </c>
      <c r="H300" s="354">
        <v>110529000</v>
      </c>
      <c r="I300" s="354">
        <v>110463000</v>
      </c>
      <c r="J300" s="350" t="s">
        <v>1683</v>
      </c>
      <c r="K300" s="352" t="s">
        <v>13</v>
      </c>
      <c r="L300" s="343">
        <v>1</v>
      </c>
      <c r="M300" s="343">
        <v>1</v>
      </c>
    </row>
    <row r="301" spans="1:13" ht="37.5" customHeight="1" thickTop="1" thickBot="1" x14ac:dyDescent="0.3">
      <c r="A301" s="366" t="s">
        <v>1681</v>
      </c>
      <c r="B301" s="366" t="s">
        <v>1491</v>
      </c>
      <c r="C301" s="366" t="s">
        <v>440</v>
      </c>
      <c r="D301" s="335">
        <v>2</v>
      </c>
      <c r="E301" s="335">
        <v>30</v>
      </c>
      <c r="F301" s="335">
        <v>3</v>
      </c>
      <c r="G301" s="335">
        <v>520</v>
      </c>
      <c r="H301" s="354">
        <v>262552383</v>
      </c>
      <c r="I301" s="354">
        <v>0</v>
      </c>
      <c r="J301" s="350" t="s">
        <v>1684</v>
      </c>
      <c r="K301" s="352" t="s">
        <v>108</v>
      </c>
      <c r="L301" s="343">
        <v>26</v>
      </c>
      <c r="M301" s="343">
        <v>0</v>
      </c>
    </row>
    <row r="302" spans="1:13" ht="37.5" customHeight="1" thickTop="1" thickBot="1" x14ac:dyDescent="0.3">
      <c r="A302" s="366" t="s">
        <v>1681</v>
      </c>
      <c r="B302" s="366" t="s">
        <v>1491</v>
      </c>
      <c r="C302" s="366" t="s">
        <v>105</v>
      </c>
      <c r="D302" s="335">
        <v>2</v>
      </c>
      <c r="E302" s="335">
        <v>30</v>
      </c>
      <c r="F302" s="335">
        <v>3</v>
      </c>
      <c r="G302" s="335">
        <v>540</v>
      </c>
      <c r="H302" s="354">
        <v>262500000</v>
      </c>
      <c r="I302" s="354">
        <v>0</v>
      </c>
      <c r="J302" s="350" t="s">
        <v>1685</v>
      </c>
      <c r="K302" s="352" t="s">
        <v>180</v>
      </c>
      <c r="L302" s="343">
        <v>35</v>
      </c>
      <c r="M302" s="343">
        <v>0</v>
      </c>
    </row>
    <row r="303" spans="1:13" ht="16.5" thickTop="1" thickBot="1" x14ac:dyDescent="0.3">
      <c r="H303" s="327"/>
      <c r="I303" s="327"/>
    </row>
    <row r="304" spans="1:13" ht="30" customHeight="1" thickTop="1" thickBot="1" x14ac:dyDescent="0.3">
      <c r="A304" s="639" t="s">
        <v>0</v>
      </c>
      <c r="B304" s="639" t="s">
        <v>1</v>
      </c>
      <c r="C304" s="639" t="s">
        <v>2569</v>
      </c>
      <c r="D304" s="636" t="s">
        <v>1961</v>
      </c>
      <c r="E304" s="637"/>
      <c r="F304" s="637"/>
      <c r="G304" s="638"/>
      <c r="H304" s="636" t="s">
        <v>3</v>
      </c>
      <c r="I304" s="637"/>
      <c r="J304" s="636" t="s">
        <v>1962</v>
      </c>
      <c r="K304" s="637"/>
      <c r="L304" s="637"/>
      <c r="M304" s="638"/>
    </row>
    <row r="305" spans="1:13" ht="34.5" customHeight="1" thickTop="1" thickBot="1" x14ac:dyDescent="0.3">
      <c r="A305" s="661"/>
      <c r="B305" s="661"/>
      <c r="C305" s="661"/>
      <c r="D305" s="321" t="s">
        <v>4</v>
      </c>
      <c r="E305" s="321" t="s">
        <v>5</v>
      </c>
      <c r="F305" s="321" t="s">
        <v>6</v>
      </c>
      <c r="G305" s="321" t="s">
        <v>7</v>
      </c>
      <c r="H305" s="321" t="s">
        <v>2</v>
      </c>
      <c r="I305" s="321" t="s">
        <v>3</v>
      </c>
      <c r="J305" s="209" t="s">
        <v>8</v>
      </c>
      <c r="K305" s="317" t="s">
        <v>9</v>
      </c>
      <c r="L305" s="317" t="s">
        <v>1963</v>
      </c>
      <c r="M305" s="317" t="s">
        <v>1964</v>
      </c>
    </row>
    <row r="306" spans="1:13" ht="48.75" customHeight="1" thickTop="1" thickBot="1" x14ac:dyDescent="0.3">
      <c r="A306" s="366" t="s">
        <v>1686</v>
      </c>
      <c r="B306" s="366" t="s">
        <v>1491</v>
      </c>
      <c r="C306" s="366" t="s">
        <v>18</v>
      </c>
      <c r="D306" s="337">
        <v>3</v>
      </c>
      <c r="E306" s="337">
        <v>30</v>
      </c>
      <c r="F306" s="337">
        <v>3</v>
      </c>
      <c r="G306" s="337">
        <v>848</v>
      </c>
      <c r="H306" s="344">
        <v>771067456</v>
      </c>
      <c r="I306" s="344">
        <v>542865050</v>
      </c>
      <c r="J306" s="340" t="s">
        <v>2055</v>
      </c>
      <c r="K306" s="337" t="s">
        <v>20</v>
      </c>
      <c r="L306" s="343">
        <v>715</v>
      </c>
      <c r="M306" s="343">
        <v>690</v>
      </c>
    </row>
    <row r="307" spans="1:13" ht="39" customHeight="1" thickTop="1" thickBot="1" x14ac:dyDescent="0.3">
      <c r="A307" s="366" t="s">
        <v>1686</v>
      </c>
      <c r="B307" s="366" t="s">
        <v>1491</v>
      </c>
      <c r="C307" s="672" t="s">
        <v>300</v>
      </c>
      <c r="D307" s="337">
        <v>3</v>
      </c>
      <c r="E307" s="337">
        <v>30</v>
      </c>
      <c r="F307" s="337">
        <v>3</v>
      </c>
      <c r="G307" s="337">
        <v>520</v>
      </c>
      <c r="H307" s="344">
        <v>450000000</v>
      </c>
      <c r="I307" s="344">
        <v>138146000</v>
      </c>
      <c r="J307" s="340" t="s">
        <v>2056</v>
      </c>
      <c r="K307" s="337" t="s">
        <v>103</v>
      </c>
      <c r="L307" s="343">
        <v>4</v>
      </c>
      <c r="M307" s="343">
        <v>3</v>
      </c>
    </row>
    <row r="308" spans="1:13" ht="39" customHeight="1" thickTop="1" thickBot="1" x14ac:dyDescent="0.3">
      <c r="A308" s="366" t="s">
        <v>1686</v>
      </c>
      <c r="B308" s="366" t="s">
        <v>1491</v>
      </c>
      <c r="C308" s="672"/>
      <c r="D308" s="337">
        <v>3</v>
      </c>
      <c r="E308" s="337">
        <v>30</v>
      </c>
      <c r="F308" s="337">
        <v>3</v>
      </c>
      <c r="G308" s="337">
        <v>520</v>
      </c>
      <c r="H308" s="344">
        <v>1118324064</v>
      </c>
      <c r="I308" s="344">
        <f>458548195+170000000</f>
        <v>628548195</v>
      </c>
      <c r="J308" s="340" t="s">
        <v>1687</v>
      </c>
      <c r="K308" s="337" t="s">
        <v>354</v>
      </c>
      <c r="L308" s="343">
        <v>15</v>
      </c>
      <c r="M308" s="343">
        <v>9</v>
      </c>
    </row>
    <row r="309" spans="1:13" ht="39.75" customHeight="1" thickTop="1" thickBot="1" x14ac:dyDescent="0.3">
      <c r="A309" s="366" t="s">
        <v>1686</v>
      </c>
      <c r="B309" s="366" t="s">
        <v>1491</v>
      </c>
      <c r="C309" s="672" t="s">
        <v>105</v>
      </c>
      <c r="D309" s="337">
        <v>3</v>
      </c>
      <c r="E309" s="337">
        <v>30</v>
      </c>
      <c r="F309" s="337">
        <v>3</v>
      </c>
      <c r="G309" s="337">
        <v>530</v>
      </c>
      <c r="H309" s="344">
        <v>110000000</v>
      </c>
      <c r="I309" s="344">
        <v>109965000</v>
      </c>
      <c r="J309" s="340" t="s">
        <v>2057</v>
      </c>
      <c r="K309" s="337" t="s">
        <v>17</v>
      </c>
      <c r="L309" s="343">
        <v>35</v>
      </c>
      <c r="M309" s="343">
        <v>35</v>
      </c>
    </row>
    <row r="310" spans="1:13" ht="39.75" customHeight="1" thickTop="1" thickBot="1" x14ac:dyDescent="0.3">
      <c r="A310" s="366" t="s">
        <v>1686</v>
      </c>
      <c r="B310" s="366" t="s">
        <v>1491</v>
      </c>
      <c r="C310" s="672"/>
      <c r="D310" s="337">
        <v>3</v>
      </c>
      <c r="E310" s="337">
        <v>30</v>
      </c>
      <c r="F310" s="337">
        <v>3</v>
      </c>
      <c r="G310" s="337">
        <v>530</v>
      </c>
      <c r="H310" s="344">
        <v>122000000</v>
      </c>
      <c r="I310" s="344">
        <v>121980000</v>
      </c>
      <c r="J310" s="340" t="s">
        <v>2058</v>
      </c>
      <c r="K310" s="337" t="s">
        <v>17</v>
      </c>
      <c r="L310" s="343">
        <v>24</v>
      </c>
      <c r="M310" s="343">
        <v>24</v>
      </c>
    </row>
    <row r="311" spans="1:13" ht="16.5" thickTop="1" thickBot="1" x14ac:dyDescent="0.3">
      <c r="H311" s="327"/>
      <c r="I311" s="327"/>
    </row>
    <row r="312" spans="1:13" ht="30" customHeight="1" thickTop="1" thickBot="1" x14ac:dyDescent="0.3">
      <c r="A312" s="639" t="s">
        <v>0</v>
      </c>
      <c r="B312" s="639" t="s">
        <v>1</v>
      </c>
      <c r="C312" s="639" t="s">
        <v>2569</v>
      </c>
      <c r="D312" s="636" t="s">
        <v>1961</v>
      </c>
      <c r="E312" s="637"/>
      <c r="F312" s="637"/>
      <c r="G312" s="638"/>
      <c r="H312" s="636" t="s">
        <v>3</v>
      </c>
      <c r="I312" s="637"/>
      <c r="J312" s="636" t="s">
        <v>1962</v>
      </c>
      <c r="K312" s="637"/>
      <c r="L312" s="637"/>
      <c r="M312" s="638"/>
    </row>
    <row r="313" spans="1:13" ht="34.5" customHeight="1" thickTop="1" thickBot="1" x14ac:dyDescent="0.3">
      <c r="A313" s="661"/>
      <c r="B313" s="661"/>
      <c r="C313" s="661"/>
      <c r="D313" s="321" t="s">
        <v>4</v>
      </c>
      <c r="E313" s="321" t="s">
        <v>5</v>
      </c>
      <c r="F313" s="321" t="s">
        <v>6</v>
      </c>
      <c r="G313" s="321" t="s">
        <v>7</v>
      </c>
      <c r="H313" s="321" t="s">
        <v>2</v>
      </c>
      <c r="I313" s="321" t="s">
        <v>3</v>
      </c>
      <c r="J313" s="209" t="s">
        <v>8</v>
      </c>
      <c r="K313" s="317" t="s">
        <v>9</v>
      </c>
      <c r="L313" s="317" t="s">
        <v>1963</v>
      </c>
      <c r="M313" s="317" t="s">
        <v>1964</v>
      </c>
    </row>
    <row r="314" spans="1:13" ht="37.5" customHeight="1" thickTop="1" thickBot="1" x14ac:dyDescent="0.3">
      <c r="A314" s="366" t="s">
        <v>1688</v>
      </c>
      <c r="B314" s="366" t="s">
        <v>1491</v>
      </c>
      <c r="C314" s="366" t="s">
        <v>18</v>
      </c>
      <c r="D314" s="335">
        <v>3</v>
      </c>
      <c r="E314" s="335">
        <v>30</v>
      </c>
      <c r="F314" s="345">
        <v>3</v>
      </c>
      <c r="G314" s="345">
        <v>848</v>
      </c>
      <c r="H314" s="346">
        <v>788923215</v>
      </c>
      <c r="I314" s="346">
        <v>514495590</v>
      </c>
      <c r="J314" s="340" t="s">
        <v>2059</v>
      </c>
      <c r="K314" s="337" t="s">
        <v>20</v>
      </c>
      <c r="L314" s="345">
        <v>650</v>
      </c>
      <c r="M314" s="345">
        <v>400</v>
      </c>
    </row>
    <row r="315" spans="1:13" ht="37.5" customHeight="1" thickTop="1" thickBot="1" x14ac:dyDescent="0.3">
      <c r="A315" s="366" t="s">
        <v>1688</v>
      </c>
      <c r="B315" s="366" t="s">
        <v>1491</v>
      </c>
      <c r="C315" s="675" t="s">
        <v>300</v>
      </c>
      <c r="D315" s="335">
        <v>3</v>
      </c>
      <c r="E315" s="335">
        <v>30</v>
      </c>
      <c r="F315" s="345">
        <v>3</v>
      </c>
      <c r="G315" s="345">
        <v>521</v>
      </c>
      <c r="H315" s="346">
        <v>139760000</v>
      </c>
      <c r="I315" s="346">
        <v>139760000</v>
      </c>
      <c r="J315" s="340" t="s">
        <v>1689</v>
      </c>
      <c r="K315" s="337" t="s">
        <v>13</v>
      </c>
      <c r="L315" s="345">
        <v>1</v>
      </c>
      <c r="M315" s="345">
        <v>0</v>
      </c>
    </row>
    <row r="316" spans="1:13" ht="46.5" thickTop="1" thickBot="1" x14ac:dyDescent="0.3">
      <c r="A316" s="366" t="s">
        <v>1688</v>
      </c>
      <c r="B316" s="366" t="s">
        <v>1491</v>
      </c>
      <c r="C316" s="676"/>
      <c r="D316" s="335">
        <v>3</v>
      </c>
      <c r="E316" s="335">
        <v>30</v>
      </c>
      <c r="F316" s="345">
        <v>3</v>
      </c>
      <c r="G316" s="345">
        <v>521</v>
      </c>
      <c r="H316" s="346">
        <v>139124013</v>
      </c>
      <c r="I316" s="346">
        <v>139124000</v>
      </c>
      <c r="J316" s="340" t="s">
        <v>1690</v>
      </c>
      <c r="K316" s="337" t="s">
        <v>13</v>
      </c>
      <c r="L316" s="345">
        <v>1</v>
      </c>
      <c r="M316" s="345">
        <v>0</v>
      </c>
    </row>
    <row r="317" spans="1:13" ht="33" customHeight="1" thickTop="1" thickBot="1" x14ac:dyDescent="0.3">
      <c r="A317" s="366" t="s">
        <v>1688</v>
      </c>
      <c r="B317" s="366" t="s">
        <v>1491</v>
      </c>
      <c r="C317" s="676"/>
      <c r="D317" s="335">
        <v>3</v>
      </c>
      <c r="E317" s="335">
        <v>30</v>
      </c>
      <c r="F317" s="345">
        <v>3</v>
      </c>
      <c r="G317" s="345">
        <v>521</v>
      </c>
      <c r="H317" s="346">
        <v>120831500</v>
      </c>
      <c r="I317" s="346">
        <v>0</v>
      </c>
      <c r="J317" s="340" t="s">
        <v>2060</v>
      </c>
      <c r="K317" s="337" t="s">
        <v>55</v>
      </c>
      <c r="L317" s="345">
        <v>2</v>
      </c>
      <c r="M317" s="345">
        <v>0</v>
      </c>
    </row>
    <row r="318" spans="1:13" ht="36.75" customHeight="1" thickTop="1" thickBot="1" x14ac:dyDescent="0.3">
      <c r="A318" s="366" t="s">
        <v>1688</v>
      </c>
      <c r="B318" s="366" t="s">
        <v>1491</v>
      </c>
      <c r="C318" s="676"/>
      <c r="D318" s="335">
        <v>3</v>
      </c>
      <c r="E318" s="335">
        <v>30</v>
      </c>
      <c r="F318" s="345">
        <v>3</v>
      </c>
      <c r="G318" s="345">
        <v>521</v>
      </c>
      <c r="H318" s="346">
        <v>3079000</v>
      </c>
      <c r="I318" s="346">
        <v>3079000</v>
      </c>
      <c r="J318" s="350" t="s">
        <v>1691</v>
      </c>
      <c r="K318" s="337" t="s">
        <v>13</v>
      </c>
      <c r="L318" s="345">
        <v>1</v>
      </c>
      <c r="M318" s="345">
        <v>1</v>
      </c>
    </row>
    <row r="319" spans="1:13" ht="33" customHeight="1" thickTop="1" thickBot="1" x14ac:dyDescent="0.3">
      <c r="A319" s="366" t="s">
        <v>1688</v>
      </c>
      <c r="B319" s="366" t="s">
        <v>1491</v>
      </c>
      <c r="C319" s="676"/>
      <c r="D319" s="335">
        <v>3</v>
      </c>
      <c r="E319" s="335">
        <v>30</v>
      </c>
      <c r="F319" s="345">
        <v>3</v>
      </c>
      <c r="G319" s="345">
        <v>521</v>
      </c>
      <c r="H319" s="346">
        <v>79783000</v>
      </c>
      <c r="I319" s="346">
        <v>79783000</v>
      </c>
      <c r="J319" s="340" t="s">
        <v>2061</v>
      </c>
      <c r="K319" s="337" t="s">
        <v>55</v>
      </c>
      <c r="L319" s="353" t="s">
        <v>295</v>
      </c>
      <c r="M319" s="345">
        <v>0</v>
      </c>
    </row>
    <row r="320" spans="1:13" ht="35.25" thickTop="1" thickBot="1" x14ac:dyDescent="0.3">
      <c r="A320" s="366" t="s">
        <v>1688</v>
      </c>
      <c r="B320" s="366" t="s">
        <v>1491</v>
      </c>
      <c r="C320" s="676"/>
      <c r="D320" s="335">
        <v>3</v>
      </c>
      <c r="E320" s="335">
        <v>30</v>
      </c>
      <c r="F320" s="345">
        <v>3</v>
      </c>
      <c r="G320" s="345">
        <v>521</v>
      </c>
      <c r="H320" s="346">
        <v>121063787</v>
      </c>
      <c r="I320" s="346">
        <v>121063787</v>
      </c>
      <c r="J320" s="350" t="s">
        <v>1692</v>
      </c>
      <c r="K320" s="337" t="s">
        <v>13</v>
      </c>
      <c r="L320" s="345">
        <v>1</v>
      </c>
      <c r="M320" s="345">
        <v>0</v>
      </c>
    </row>
    <row r="321" spans="1:13" ht="31.5" thickTop="1" thickBot="1" x14ac:dyDescent="0.3">
      <c r="A321" s="366" t="s">
        <v>1688</v>
      </c>
      <c r="B321" s="366" t="s">
        <v>1491</v>
      </c>
      <c r="C321" s="676"/>
      <c r="D321" s="335">
        <v>3</v>
      </c>
      <c r="E321" s="335">
        <v>30</v>
      </c>
      <c r="F321" s="345">
        <v>3</v>
      </c>
      <c r="G321" s="345">
        <v>521</v>
      </c>
      <c r="H321" s="346">
        <v>120381500</v>
      </c>
      <c r="I321" s="346">
        <v>120381500</v>
      </c>
      <c r="J321" s="340" t="s">
        <v>2062</v>
      </c>
      <c r="K321" s="337" t="s">
        <v>55</v>
      </c>
      <c r="L321" s="345">
        <v>2</v>
      </c>
      <c r="M321" s="345">
        <v>0</v>
      </c>
    </row>
    <row r="322" spans="1:13" ht="30.75" customHeight="1" thickTop="1" thickBot="1" x14ac:dyDescent="0.3">
      <c r="A322" s="366" t="s">
        <v>1688</v>
      </c>
      <c r="B322" s="366" t="s">
        <v>1491</v>
      </c>
      <c r="C322" s="676"/>
      <c r="D322" s="335">
        <v>3</v>
      </c>
      <c r="E322" s="335">
        <v>30</v>
      </c>
      <c r="F322" s="345">
        <v>3</v>
      </c>
      <c r="G322" s="345">
        <v>521</v>
      </c>
      <c r="H322" s="346">
        <v>66670165</v>
      </c>
      <c r="I322" s="346">
        <v>0</v>
      </c>
      <c r="J322" s="340" t="s">
        <v>1693</v>
      </c>
      <c r="K322" s="337" t="s">
        <v>25</v>
      </c>
      <c r="L322" s="345">
        <v>1</v>
      </c>
      <c r="M322" s="345">
        <v>0</v>
      </c>
    </row>
    <row r="323" spans="1:13" ht="30.75" customHeight="1" thickTop="1" thickBot="1" x14ac:dyDescent="0.3">
      <c r="A323" s="366" t="s">
        <v>1688</v>
      </c>
      <c r="B323" s="366" t="s">
        <v>1491</v>
      </c>
      <c r="C323" s="676"/>
      <c r="D323" s="335">
        <v>3</v>
      </c>
      <c r="E323" s="335">
        <v>30</v>
      </c>
      <c r="F323" s="345">
        <v>3</v>
      </c>
      <c r="G323" s="345">
        <v>521</v>
      </c>
      <c r="H323" s="346">
        <v>0</v>
      </c>
      <c r="I323" s="346">
        <v>0</v>
      </c>
      <c r="J323" s="340" t="s">
        <v>2063</v>
      </c>
      <c r="K323" s="337" t="s">
        <v>25</v>
      </c>
      <c r="L323" s="345">
        <v>2</v>
      </c>
      <c r="M323" s="345">
        <v>0</v>
      </c>
    </row>
    <row r="324" spans="1:13" ht="35.25" thickTop="1" thickBot="1" x14ac:dyDescent="0.3">
      <c r="A324" s="366" t="s">
        <v>1688</v>
      </c>
      <c r="B324" s="366" t="s">
        <v>1491</v>
      </c>
      <c r="C324" s="676"/>
      <c r="D324" s="335">
        <v>3</v>
      </c>
      <c r="E324" s="335">
        <v>30</v>
      </c>
      <c r="F324" s="345">
        <v>3</v>
      </c>
      <c r="G324" s="345">
        <v>521</v>
      </c>
      <c r="H324" s="346">
        <v>139938100</v>
      </c>
      <c r="I324" s="346">
        <v>139938100</v>
      </c>
      <c r="J324" s="350" t="s">
        <v>1694</v>
      </c>
      <c r="K324" s="337" t="s">
        <v>777</v>
      </c>
      <c r="L324" s="345">
        <v>1</v>
      </c>
      <c r="M324" s="345">
        <v>0</v>
      </c>
    </row>
    <row r="325" spans="1:13" ht="35.25" thickTop="1" thickBot="1" x14ac:dyDescent="0.3">
      <c r="A325" s="366" t="s">
        <v>1688</v>
      </c>
      <c r="B325" s="366" t="s">
        <v>1491</v>
      </c>
      <c r="C325" s="676"/>
      <c r="D325" s="335">
        <v>3</v>
      </c>
      <c r="E325" s="335">
        <v>30</v>
      </c>
      <c r="F325" s="345">
        <v>3</v>
      </c>
      <c r="G325" s="345">
        <v>521</v>
      </c>
      <c r="H325" s="346">
        <v>0</v>
      </c>
      <c r="I325" s="346">
        <v>0</v>
      </c>
      <c r="J325" s="350" t="s">
        <v>1695</v>
      </c>
      <c r="K325" s="337" t="s">
        <v>13</v>
      </c>
      <c r="L325" s="345">
        <v>1</v>
      </c>
      <c r="M325" s="345">
        <v>0</v>
      </c>
    </row>
    <row r="326" spans="1:13" ht="31.5" thickTop="1" thickBot="1" x14ac:dyDescent="0.3">
      <c r="A326" s="366" t="s">
        <v>1688</v>
      </c>
      <c r="B326" s="366" t="s">
        <v>1491</v>
      </c>
      <c r="C326" s="676"/>
      <c r="D326" s="335">
        <v>3</v>
      </c>
      <c r="E326" s="335">
        <v>30</v>
      </c>
      <c r="F326" s="345">
        <v>3</v>
      </c>
      <c r="G326" s="345">
        <v>521</v>
      </c>
      <c r="H326" s="346">
        <v>0</v>
      </c>
      <c r="I326" s="346">
        <v>0</v>
      </c>
      <c r="J326" s="340" t="s">
        <v>1696</v>
      </c>
      <c r="K326" s="337" t="s">
        <v>13</v>
      </c>
      <c r="L326" s="345">
        <v>1</v>
      </c>
      <c r="M326" s="345">
        <v>0</v>
      </c>
    </row>
    <row r="327" spans="1:13" ht="33.75" customHeight="1" thickTop="1" thickBot="1" x14ac:dyDescent="0.3">
      <c r="A327" s="366" t="s">
        <v>1688</v>
      </c>
      <c r="B327" s="366" t="s">
        <v>1491</v>
      </c>
      <c r="C327" s="676"/>
      <c r="D327" s="335">
        <v>3</v>
      </c>
      <c r="E327" s="335">
        <v>30</v>
      </c>
      <c r="F327" s="345">
        <v>3</v>
      </c>
      <c r="G327" s="345">
        <v>521</v>
      </c>
      <c r="H327" s="346">
        <v>3680250</v>
      </c>
      <c r="I327" s="336">
        <v>3680250</v>
      </c>
      <c r="J327" s="340" t="s">
        <v>1697</v>
      </c>
      <c r="K327" s="337" t="s">
        <v>13</v>
      </c>
      <c r="L327" s="345">
        <v>1</v>
      </c>
      <c r="M327" s="345">
        <v>1</v>
      </c>
    </row>
    <row r="328" spans="1:13" ht="36.75" customHeight="1" thickTop="1" thickBot="1" x14ac:dyDescent="0.3">
      <c r="A328" s="366" t="s">
        <v>1688</v>
      </c>
      <c r="B328" s="366" t="s">
        <v>1491</v>
      </c>
      <c r="C328" s="676"/>
      <c r="D328" s="335">
        <v>3</v>
      </c>
      <c r="E328" s="335">
        <v>30</v>
      </c>
      <c r="F328" s="345">
        <v>3</v>
      </c>
      <c r="G328" s="345">
        <v>521</v>
      </c>
      <c r="H328" s="346">
        <f>525948811-H327</f>
        <v>522268561</v>
      </c>
      <c r="I328" s="336">
        <v>291294500</v>
      </c>
      <c r="J328" s="340" t="s">
        <v>2030</v>
      </c>
      <c r="K328" s="337" t="s">
        <v>95</v>
      </c>
      <c r="L328" s="351">
        <v>11700</v>
      </c>
      <c r="M328" s="351">
        <v>4100</v>
      </c>
    </row>
    <row r="329" spans="1:13" ht="36.75" customHeight="1" thickTop="1" thickBot="1" x14ac:dyDescent="0.3">
      <c r="A329" s="366" t="s">
        <v>1688</v>
      </c>
      <c r="B329" s="366" t="s">
        <v>1491</v>
      </c>
      <c r="C329" s="676"/>
      <c r="D329" s="335">
        <v>3</v>
      </c>
      <c r="E329" s="335">
        <v>30</v>
      </c>
      <c r="F329" s="345">
        <v>3</v>
      </c>
      <c r="G329" s="345">
        <v>521</v>
      </c>
      <c r="H329" s="346">
        <v>0</v>
      </c>
      <c r="I329" s="346">
        <v>0</v>
      </c>
      <c r="J329" s="340" t="s">
        <v>1698</v>
      </c>
      <c r="K329" s="337" t="s">
        <v>13</v>
      </c>
      <c r="L329" s="337">
        <v>1</v>
      </c>
      <c r="M329" s="337">
        <v>0</v>
      </c>
    </row>
    <row r="330" spans="1:13" ht="38.25" customHeight="1" thickTop="1" thickBot="1" x14ac:dyDescent="0.3">
      <c r="A330" s="366" t="s">
        <v>1688</v>
      </c>
      <c r="B330" s="366" t="s">
        <v>1491</v>
      </c>
      <c r="C330" s="676"/>
      <c r="D330" s="335">
        <v>3</v>
      </c>
      <c r="E330" s="335">
        <v>30</v>
      </c>
      <c r="F330" s="345">
        <v>3</v>
      </c>
      <c r="G330" s="345">
        <v>521</v>
      </c>
      <c r="H330" s="346">
        <v>0</v>
      </c>
      <c r="I330" s="346">
        <v>0</v>
      </c>
      <c r="J330" s="340" t="s">
        <v>1699</v>
      </c>
      <c r="K330" s="337" t="s">
        <v>13</v>
      </c>
      <c r="L330" s="337" t="s">
        <v>295</v>
      </c>
      <c r="M330" s="337" t="s">
        <v>654</v>
      </c>
    </row>
    <row r="331" spans="1:13" ht="38.25" customHeight="1" thickTop="1" thickBot="1" x14ac:dyDescent="0.3">
      <c r="A331" s="366" t="s">
        <v>1688</v>
      </c>
      <c r="B331" s="366" t="s">
        <v>1491</v>
      </c>
      <c r="C331" s="677"/>
      <c r="D331" s="335">
        <v>3</v>
      </c>
      <c r="E331" s="335">
        <v>30</v>
      </c>
      <c r="F331" s="345">
        <v>3</v>
      </c>
      <c r="G331" s="345">
        <v>521</v>
      </c>
      <c r="H331" s="346">
        <v>0</v>
      </c>
      <c r="I331" s="346">
        <v>0</v>
      </c>
      <c r="J331" s="340" t="s">
        <v>1700</v>
      </c>
      <c r="K331" s="337" t="s">
        <v>13</v>
      </c>
      <c r="L331" s="337">
        <v>1</v>
      </c>
      <c r="M331" s="337">
        <v>0</v>
      </c>
    </row>
    <row r="332" spans="1:13" ht="29.25" customHeight="1" thickTop="1" thickBot="1" x14ac:dyDescent="0.3">
      <c r="A332" s="366" t="s">
        <v>1688</v>
      </c>
      <c r="B332" s="366" t="s">
        <v>1491</v>
      </c>
      <c r="C332" s="675" t="s">
        <v>105</v>
      </c>
      <c r="D332" s="335">
        <v>3</v>
      </c>
      <c r="E332" s="335">
        <v>30</v>
      </c>
      <c r="F332" s="345">
        <v>3</v>
      </c>
      <c r="G332" s="345">
        <v>530</v>
      </c>
      <c r="H332" s="346">
        <v>5600000</v>
      </c>
      <c r="I332" s="346">
        <v>3984000</v>
      </c>
      <c r="J332" s="340" t="s">
        <v>1701</v>
      </c>
      <c r="K332" s="337" t="s">
        <v>84</v>
      </c>
      <c r="L332" s="345">
        <v>11</v>
      </c>
      <c r="M332" s="345">
        <v>8</v>
      </c>
    </row>
    <row r="333" spans="1:13" ht="33.75" customHeight="1" thickTop="1" thickBot="1" x14ac:dyDescent="0.3">
      <c r="A333" s="366" t="s">
        <v>1688</v>
      </c>
      <c r="B333" s="366" t="s">
        <v>1491</v>
      </c>
      <c r="C333" s="676"/>
      <c r="D333" s="335">
        <v>3</v>
      </c>
      <c r="E333" s="335">
        <v>30</v>
      </c>
      <c r="F333" s="345">
        <v>3</v>
      </c>
      <c r="G333" s="353" t="s">
        <v>1662</v>
      </c>
      <c r="H333" s="346">
        <v>0</v>
      </c>
      <c r="I333" s="346">
        <v>0</v>
      </c>
      <c r="J333" s="340" t="s">
        <v>1702</v>
      </c>
      <c r="K333" s="337" t="s">
        <v>84</v>
      </c>
      <c r="L333" s="353" t="s">
        <v>717</v>
      </c>
      <c r="M333" s="353" t="s">
        <v>654</v>
      </c>
    </row>
    <row r="334" spans="1:13" ht="35.25" thickTop="1" thickBot="1" x14ac:dyDescent="0.3">
      <c r="A334" s="366" t="s">
        <v>1688</v>
      </c>
      <c r="B334" s="366" t="s">
        <v>1491</v>
      </c>
      <c r="C334" s="677"/>
      <c r="D334" s="335">
        <v>3</v>
      </c>
      <c r="E334" s="335">
        <v>30</v>
      </c>
      <c r="F334" s="345">
        <v>3</v>
      </c>
      <c r="G334" s="345">
        <v>540</v>
      </c>
      <c r="H334" s="346">
        <v>135400000</v>
      </c>
      <c r="I334" s="346">
        <v>134909000</v>
      </c>
      <c r="J334" s="340" t="s">
        <v>1703</v>
      </c>
      <c r="K334" s="337" t="s">
        <v>84</v>
      </c>
      <c r="L334" s="345">
        <v>448</v>
      </c>
      <c r="M334" s="345">
        <v>448</v>
      </c>
    </row>
    <row r="335" spans="1:13" ht="49.5" customHeight="1" thickTop="1" thickBot="1" x14ac:dyDescent="0.3">
      <c r="A335" s="366" t="s">
        <v>1688</v>
      </c>
      <c r="B335" s="366" t="s">
        <v>1491</v>
      </c>
      <c r="C335" s="366" t="s">
        <v>300</v>
      </c>
      <c r="D335" s="335">
        <v>3</v>
      </c>
      <c r="E335" s="335">
        <v>30</v>
      </c>
      <c r="F335" s="345">
        <v>3</v>
      </c>
      <c r="G335" s="345">
        <v>980</v>
      </c>
      <c r="H335" s="346">
        <v>243240963</v>
      </c>
      <c r="I335" s="346">
        <v>147181816</v>
      </c>
      <c r="J335" s="340" t="s">
        <v>2070</v>
      </c>
      <c r="K335" s="337" t="s">
        <v>16</v>
      </c>
      <c r="L335" s="345">
        <v>4</v>
      </c>
      <c r="M335" s="345">
        <v>2</v>
      </c>
    </row>
    <row r="336" spans="1:13" ht="16.5" thickTop="1" thickBot="1" x14ac:dyDescent="0.3">
      <c r="H336" s="327"/>
      <c r="I336" s="327"/>
    </row>
    <row r="337" spans="1:13" ht="30" customHeight="1" thickTop="1" thickBot="1" x14ac:dyDescent="0.3">
      <c r="A337" s="639" t="s">
        <v>0</v>
      </c>
      <c r="B337" s="639" t="s">
        <v>1</v>
      </c>
      <c r="C337" s="639" t="s">
        <v>2569</v>
      </c>
      <c r="D337" s="636" t="s">
        <v>1961</v>
      </c>
      <c r="E337" s="637"/>
      <c r="F337" s="637"/>
      <c r="G337" s="638"/>
      <c r="H337" s="636" t="s">
        <v>3</v>
      </c>
      <c r="I337" s="637"/>
      <c r="J337" s="636" t="s">
        <v>1962</v>
      </c>
      <c r="K337" s="637"/>
      <c r="L337" s="637"/>
      <c r="M337" s="638"/>
    </row>
    <row r="338" spans="1:13" ht="34.5" customHeight="1" thickTop="1" thickBot="1" x14ac:dyDescent="0.3">
      <c r="A338" s="661"/>
      <c r="B338" s="661"/>
      <c r="C338" s="661"/>
      <c r="D338" s="321" t="s">
        <v>4</v>
      </c>
      <c r="E338" s="321" t="s">
        <v>5</v>
      </c>
      <c r="F338" s="321" t="s">
        <v>6</v>
      </c>
      <c r="G338" s="321" t="s">
        <v>7</v>
      </c>
      <c r="H338" s="321" t="s">
        <v>2</v>
      </c>
      <c r="I338" s="321" t="s">
        <v>3</v>
      </c>
      <c r="J338" s="209" t="s">
        <v>8</v>
      </c>
      <c r="K338" s="317" t="s">
        <v>9</v>
      </c>
      <c r="L338" s="317" t="s">
        <v>1963</v>
      </c>
      <c r="M338" s="317" t="s">
        <v>1964</v>
      </c>
    </row>
    <row r="339" spans="1:13" ht="51" customHeight="1" thickTop="1" thickBot="1" x14ac:dyDescent="0.3">
      <c r="A339" s="335" t="s">
        <v>2538</v>
      </c>
      <c r="B339" s="335" t="s">
        <v>1491</v>
      </c>
      <c r="C339" s="335" t="s">
        <v>18</v>
      </c>
      <c r="D339" s="337">
        <v>3</v>
      </c>
      <c r="E339" s="337">
        <v>30</v>
      </c>
      <c r="F339" s="337">
        <v>3</v>
      </c>
      <c r="G339" s="337">
        <v>848</v>
      </c>
      <c r="H339" s="346">
        <v>495581243</v>
      </c>
      <c r="I339" s="346">
        <v>216352206</v>
      </c>
      <c r="J339" s="350" t="s">
        <v>1704</v>
      </c>
      <c r="K339" s="337" t="s">
        <v>20</v>
      </c>
      <c r="L339" s="337">
        <v>717</v>
      </c>
      <c r="M339" s="337">
        <v>315</v>
      </c>
    </row>
    <row r="340" spans="1:13" ht="40.5" customHeight="1" thickTop="1" thickBot="1" x14ac:dyDescent="0.3">
      <c r="A340" s="626" t="s">
        <v>2538</v>
      </c>
      <c r="B340" s="335" t="s">
        <v>1491</v>
      </c>
      <c r="C340" s="675" t="s">
        <v>53</v>
      </c>
      <c r="D340" s="337">
        <v>3</v>
      </c>
      <c r="E340" s="337">
        <v>30</v>
      </c>
      <c r="F340" s="337">
        <v>3</v>
      </c>
      <c r="G340" s="337">
        <v>520</v>
      </c>
      <c r="H340" s="346">
        <v>393695830</v>
      </c>
      <c r="I340" s="346">
        <v>93523868</v>
      </c>
      <c r="J340" s="350" t="s">
        <v>1705</v>
      </c>
      <c r="K340" s="337" t="s">
        <v>55</v>
      </c>
      <c r="L340" s="337">
        <v>1</v>
      </c>
      <c r="M340" s="337">
        <v>0</v>
      </c>
    </row>
    <row r="341" spans="1:13" ht="37.5" customHeight="1" thickTop="1" thickBot="1" x14ac:dyDescent="0.3">
      <c r="A341" s="626" t="s">
        <v>2538</v>
      </c>
      <c r="B341" s="335" t="s">
        <v>1491</v>
      </c>
      <c r="C341" s="676"/>
      <c r="D341" s="337">
        <v>3</v>
      </c>
      <c r="E341" s="337">
        <v>30</v>
      </c>
      <c r="F341" s="337">
        <v>3</v>
      </c>
      <c r="G341" s="337">
        <v>520</v>
      </c>
      <c r="H341" s="346">
        <v>150000000</v>
      </c>
      <c r="I341" s="346">
        <v>0</v>
      </c>
      <c r="J341" s="350" t="s">
        <v>1706</v>
      </c>
      <c r="K341" s="337" t="s">
        <v>410</v>
      </c>
      <c r="L341" s="337">
        <v>1</v>
      </c>
      <c r="M341" s="337">
        <v>0</v>
      </c>
    </row>
    <row r="342" spans="1:13" ht="38.25" customHeight="1" thickTop="1" thickBot="1" x14ac:dyDescent="0.3">
      <c r="A342" s="626" t="s">
        <v>2538</v>
      </c>
      <c r="B342" s="335" t="s">
        <v>1491</v>
      </c>
      <c r="C342" s="676"/>
      <c r="D342" s="337">
        <v>3</v>
      </c>
      <c r="E342" s="337">
        <v>30</v>
      </c>
      <c r="F342" s="337">
        <v>3</v>
      </c>
      <c r="G342" s="337">
        <v>520</v>
      </c>
      <c r="H342" s="346">
        <v>625200000</v>
      </c>
      <c r="I342" s="346">
        <v>0</v>
      </c>
      <c r="J342" s="350" t="s">
        <v>1707</v>
      </c>
      <c r="K342" s="337" t="s">
        <v>55</v>
      </c>
      <c r="L342" s="337">
        <v>6</v>
      </c>
      <c r="M342" s="337">
        <v>0</v>
      </c>
    </row>
    <row r="343" spans="1:13" ht="33" customHeight="1" thickTop="1" thickBot="1" x14ac:dyDescent="0.3">
      <c r="A343" s="626" t="s">
        <v>2538</v>
      </c>
      <c r="B343" s="335" t="s">
        <v>1491</v>
      </c>
      <c r="C343" s="676"/>
      <c r="D343" s="337">
        <v>3</v>
      </c>
      <c r="E343" s="337">
        <v>30</v>
      </c>
      <c r="F343" s="337">
        <v>3</v>
      </c>
      <c r="G343" s="337">
        <v>520</v>
      </c>
      <c r="H343" s="346">
        <v>210000000</v>
      </c>
      <c r="I343" s="346">
        <v>0</v>
      </c>
      <c r="J343" s="350" t="s">
        <v>1708</v>
      </c>
      <c r="K343" s="337" t="s">
        <v>25</v>
      </c>
      <c r="L343" s="337">
        <v>6</v>
      </c>
      <c r="M343" s="337">
        <v>0</v>
      </c>
    </row>
    <row r="344" spans="1:13" ht="37.5" customHeight="1" thickTop="1" thickBot="1" x14ac:dyDescent="0.3">
      <c r="A344" s="626" t="s">
        <v>2538</v>
      </c>
      <c r="B344" s="335" t="s">
        <v>1491</v>
      </c>
      <c r="C344" s="676"/>
      <c r="D344" s="337">
        <v>3</v>
      </c>
      <c r="E344" s="337">
        <v>30</v>
      </c>
      <c r="F344" s="337">
        <v>3</v>
      </c>
      <c r="G344" s="337">
        <v>520</v>
      </c>
      <c r="H344" s="346">
        <v>49682027</v>
      </c>
      <c r="I344" s="346">
        <v>0</v>
      </c>
      <c r="J344" s="350" t="s">
        <v>1709</v>
      </c>
      <c r="K344" s="337" t="s">
        <v>13</v>
      </c>
      <c r="L344" s="337">
        <v>1</v>
      </c>
      <c r="M344" s="337">
        <v>0</v>
      </c>
    </row>
    <row r="345" spans="1:13" ht="31.5" customHeight="1" thickTop="1" thickBot="1" x14ac:dyDescent="0.3">
      <c r="A345" s="626" t="s">
        <v>2538</v>
      </c>
      <c r="B345" s="335" t="s">
        <v>1491</v>
      </c>
      <c r="C345" s="676"/>
      <c r="D345" s="337">
        <v>3</v>
      </c>
      <c r="E345" s="337">
        <v>30</v>
      </c>
      <c r="F345" s="337">
        <v>3</v>
      </c>
      <c r="G345" s="337">
        <v>520</v>
      </c>
      <c r="H345" s="346">
        <v>580646821</v>
      </c>
      <c r="I345" s="346">
        <v>0</v>
      </c>
      <c r="J345" s="350" t="s">
        <v>1710</v>
      </c>
      <c r="K345" s="337" t="s">
        <v>13</v>
      </c>
      <c r="L345" s="337">
        <v>1</v>
      </c>
      <c r="M345" s="337">
        <v>0</v>
      </c>
    </row>
    <row r="346" spans="1:13" ht="31.5" customHeight="1" thickTop="1" thickBot="1" x14ac:dyDescent="0.3">
      <c r="A346" s="626" t="s">
        <v>2538</v>
      </c>
      <c r="B346" s="335" t="s">
        <v>1491</v>
      </c>
      <c r="C346" s="677"/>
      <c r="D346" s="337">
        <v>3</v>
      </c>
      <c r="E346" s="337">
        <v>30</v>
      </c>
      <c r="F346" s="337">
        <v>3</v>
      </c>
      <c r="G346" s="337">
        <v>520</v>
      </c>
      <c r="H346" s="346">
        <v>440586134</v>
      </c>
      <c r="I346" s="346">
        <v>0</v>
      </c>
      <c r="J346" s="350" t="s">
        <v>1711</v>
      </c>
      <c r="K346" s="337" t="s">
        <v>13</v>
      </c>
      <c r="L346" s="337">
        <v>4</v>
      </c>
      <c r="M346" s="337">
        <v>0</v>
      </c>
    </row>
    <row r="347" spans="1:13" ht="46.5" thickTop="1" thickBot="1" x14ac:dyDescent="0.3">
      <c r="A347" s="626" t="s">
        <v>2538</v>
      </c>
      <c r="B347" s="335" t="s">
        <v>1491</v>
      </c>
      <c r="C347" s="675" t="s">
        <v>105</v>
      </c>
      <c r="D347" s="337">
        <v>3</v>
      </c>
      <c r="E347" s="337">
        <v>30</v>
      </c>
      <c r="F347" s="337">
        <v>3</v>
      </c>
      <c r="G347" s="337">
        <v>530</v>
      </c>
      <c r="H347" s="346">
        <v>79423000</v>
      </c>
      <c r="I347" s="346">
        <v>0</v>
      </c>
      <c r="J347" s="350" t="s">
        <v>1712</v>
      </c>
      <c r="K347" s="337" t="s">
        <v>44</v>
      </c>
      <c r="L347" s="337">
        <v>590</v>
      </c>
      <c r="M347" s="337">
        <v>0</v>
      </c>
    </row>
    <row r="348" spans="1:13" ht="46.5" thickTop="1" thickBot="1" x14ac:dyDescent="0.3">
      <c r="A348" s="626" t="s">
        <v>2538</v>
      </c>
      <c r="B348" s="335" t="s">
        <v>1491</v>
      </c>
      <c r="C348" s="676"/>
      <c r="D348" s="337">
        <v>3</v>
      </c>
      <c r="E348" s="337">
        <v>30</v>
      </c>
      <c r="F348" s="337">
        <v>3</v>
      </c>
      <c r="G348" s="337">
        <v>530</v>
      </c>
      <c r="H348" s="346">
        <v>59425000</v>
      </c>
      <c r="I348" s="346">
        <v>59425000</v>
      </c>
      <c r="J348" s="350" t="s">
        <v>1713</v>
      </c>
      <c r="K348" s="337" t="s">
        <v>17</v>
      </c>
      <c r="L348" s="337">
        <v>1</v>
      </c>
      <c r="M348" s="337">
        <v>1</v>
      </c>
    </row>
    <row r="349" spans="1:13" ht="39.75" customHeight="1" thickTop="1" thickBot="1" x14ac:dyDescent="0.3">
      <c r="A349" s="626" t="s">
        <v>2538</v>
      </c>
      <c r="B349" s="335" t="s">
        <v>1491</v>
      </c>
      <c r="C349" s="676"/>
      <c r="D349" s="337">
        <v>3</v>
      </c>
      <c r="E349" s="337">
        <v>30</v>
      </c>
      <c r="F349" s="337">
        <v>3</v>
      </c>
      <c r="G349" s="337">
        <v>530</v>
      </c>
      <c r="H349" s="346">
        <v>6700000</v>
      </c>
      <c r="I349" s="346">
        <v>0</v>
      </c>
      <c r="J349" s="350" t="s">
        <v>1714</v>
      </c>
      <c r="K349" s="337" t="s">
        <v>1715</v>
      </c>
      <c r="L349" s="337">
        <v>1</v>
      </c>
      <c r="M349" s="337">
        <v>0</v>
      </c>
    </row>
    <row r="350" spans="1:13" ht="39.75" customHeight="1" thickTop="1" thickBot="1" x14ac:dyDescent="0.3">
      <c r="A350" s="626" t="s">
        <v>2538</v>
      </c>
      <c r="B350" s="335" t="s">
        <v>1491</v>
      </c>
      <c r="C350" s="676"/>
      <c r="D350" s="337">
        <v>3</v>
      </c>
      <c r="E350" s="337">
        <v>30</v>
      </c>
      <c r="F350" s="337">
        <v>3</v>
      </c>
      <c r="G350" s="337">
        <v>530</v>
      </c>
      <c r="H350" s="346">
        <v>4452000</v>
      </c>
      <c r="I350" s="346">
        <v>0</v>
      </c>
      <c r="J350" s="350" t="s">
        <v>1716</v>
      </c>
      <c r="K350" s="337" t="s">
        <v>1717</v>
      </c>
      <c r="L350" s="337">
        <v>12</v>
      </c>
      <c r="M350" s="337">
        <v>0</v>
      </c>
    </row>
    <row r="351" spans="1:13" ht="48" customHeight="1" thickTop="1" thickBot="1" x14ac:dyDescent="0.3">
      <c r="A351" s="626" t="s">
        <v>2538</v>
      </c>
      <c r="B351" s="335" t="s">
        <v>1491</v>
      </c>
      <c r="C351" s="676"/>
      <c r="D351" s="337">
        <v>3</v>
      </c>
      <c r="E351" s="337">
        <v>30</v>
      </c>
      <c r="F351" s="337">
        <v>3</v>
      </c>
      <c r="G351" s="337">
        <v>540</v>
      </c>
      <c r="H351" s="346">
        <v>20270000</v>
      </c>
      <c r="I351" s="346">
        <v>0</v>
      </c>
      <c r="J351" s="350" t="s">
        <v>1718</v>
      </c>
      <c r="K351" s="337" t="s">
        <v>44</v>
      </c>
      <c r="L351" s="337">
        <v>150</v>
      </c>
      <c r="M351" s="337">
        <v>0</v>
      </c>
    </row>
    <row r="352" spans="1:13" ht="39.75" customHeight="1" thickTop="1" thickBot="1" x14ac:dyDescent="0.3">
      <c r="A352" s="626" t="s">
        <v>2538</v>
      </c>
      <c r="B352" s="335" t="s">
        <v>1491</v>
      </c>
      <c r="C352" s="676"/>
      <c r="D352" s="337">
        <v>3</v>
      </c>
      <c r="E352" s="337">
        <v>30</v>
      </c>
      <c r="F352" s="337">
        <v>3</v>
      </c>
      <c r="G352" s="337">
        <v>540</v>
      </c>
      <c r="H352" s="346">
        <v>86250000</v>
      </c>
      <c r="I352" s="346">
        <v>0</v>
      </c>
      <c r="J352" s="350" t="s">
        <v>1719</v>
      </c>
      <c r="K352" s="337" t="s">
        <v>46</v>
      </c>
      <c r="L352" s="337">
        <v>690</v>
      </c>
      <c r="M352" s="337">
        <v>0</v>
      </c>
    </row>
    <row r="353" spans="1:13" ht="39.75" customHeight="1" thickTop="1" thickBot="1" x14ac:dyDescent="0.3">
      <c r="A353" s="626" t="s">
        <v>2538</v>
      </c>
      <c r="B353" s="335" t="s">
        <v>1491</v>
      </c>
      <c r="C353" s="676"/>
      <c r="D353" s="337">
        <v>3</v>
      </c>
      <c r="E353" s="337">
        <v>30</v>
      </c>
      <c r="F353" s="337">
        <v>3</v>
      </c>
      <c r="G353" s="337">
        <v>540</v>
      </c>
      <c r="H353" s="346">
        <v>9480000</v>
      </c>
      <c r="I353" s="346">
        <v>0</v>
      </c>
      <c r="J353" s="350" t="s">
        <v>1720</v>
      </c>
      <c r="K353" s="337" t="s">
        <v>66</v>
      </c>
      <c r="L353" s="337">
        <v>10</v>
      </c>
      <c r="M353" s="337">
        <v>0</v>
      </c>
    </row>
    <row r="354" spans="1:13" ht="39.75" customHeight="1" thickTop="1" thickBot="1" x14ac:dyDescent="0.3">
      <c r="A354" s="626" t="s">
        <v>2538</v>
      </c>
      <c r="B354" s="335" t="s">
        <v>1491</v>
      </c>
      <c r="C354" s="676"/>
      <c r="D354" s="337">
        <v>3</v>
      </c>
      <c r="E354" s="337">
        <v>30</v>
      </c>
      <c r="F354" s="337">
        <v>3</v>
      </c>
      <c r="G354" s="337">
        <v>540</v>
      </c>
      <c r="H354" s="346">
        <v>7000000</v>
      </c>
      <c r="I354" s="346">
        <v>0</v>
      </c>
      <c r="J354" s="350" t="s">
        <v>1721</v>
      </c>
      <c r="K354" s="337" t="s">
        <v>190</v>
      </c>
      <c r="L354" s="337">
        <v>10</v>
      </c>
      <c r="M354" s="337">
        <v>0</v>
      </c>
    </row>
    <row r="355" spans="1:13" ht="39.75" customHeight="1" thickTop="1" thickBot="1" x14ac:dyDescent="0.3">
      <c r="A355" s="626" t="s">
        <v>2538</v>
      </c>
      <c r="B355" s="335" t="s">
        <v>1491</v>
      </c>
      <c r="C355" s="677"/>
      <c r="D355" s="337">
        <v>3</v>
      </c>
      <c r="E355" s="337">
        <v>30</v>
      </c>
      <c r="F355" s="337">
        <v>3</v>
      </c>
      <c r="G355" s="337">
        <v>540</v>
      </c>
      <c r="H355" s="346">
        <v>27000000</v>
      </c>
      <c r="I355" s="346">
        <v>0</v>
      </c>
      <c r="J355" s="350" t="s">
        <v>2085</v>
      </c>
      <c r="K355" s="337" t="s">
        <v>193</v>
      </c>
      <c r="L355" s="337">
        <v>30</v>
      </c>
      <c r="M355" s="337">
        <v>0</v>
      </c>
    </row>
    <row r="356" spans="1:13" ht="42.75" customHeight="1" thickTop="1" thickBot="1" x14ac:dyDescent="0.3">
      <c r="A356" s="626" t="s">
        <v>2538</v>
      </c>
      <c r="B356" s="335" t="s">
        <v>1491</v>
      </c>
      <c r="C356" s="338" t="s">
        <v>53</v>
      </c>
      <c r="D356" s="337">
        <v>3</v>
      </c>
      <c r="E356" s="337">
        <v>30</v>
      </c>
      <c r="F356" s="337">
        <v>3</v>
      </c>
      <c r="G356" s="337">
        <v>980</v>
      </c>
      <c r="H356" s="346">
        <v>232601722</v>
      </c>
      <c r="I356" s="346">
        <v>232601722</v>
      </c>
      <c r="J356" s="350" t="s">
        <v>1722</v>
      </c>
      <c r="K356" s="337" t="s">
        <v>16</v>
      </c>
      <c r="L356" s="337">
        <v>2</v>
      </c>
      <c r="M356" s="337">
        <v>2</v>
      </c>
    </row>
    <row r="357" spans="1:13" ht="16.5" thickTop="1" thickBot="1" x14ac:dyDescent="0.3">
      <c r="H357" s="327"/>
      <c r="I357" s="327"/>
    </row>
    <row r="358" spans="1:13" ht="30" customHeight="1" thickTop="1" thickBot="1" x14ac:dyDescent="0.3">
      <c r="A358" s="639" t="s">
        <v>0</v>
      </c>
      <c r="B358" s="639" t="s">
        <v>1</v>
      </c>
      <c r="C358" s="639" t="s">
        <v>2569</v>
      </c>
      <c r="D358" s="636" t="s">
        <v>1961</v>
      </c>
      <c r="E358" s="637"/>
      <c r="F358" s="637"/>
      <c r="G358" s="638"/>
      <c r="H358" s="636" t="s">
        <v>3</v>
      </c>
      <c r="I358" s="637"/>
      <c r="J358" s="636" t="s">
        <v>1962</v>
      </c>
      <c r="K358" s="637"/>
      <c r="L358" s="637"/>
      <c r="M358" s="638"/>
    </row>
    <row r="359" spans="1:13" ht="34.5" customHeight="1" thickTop="1" thickBot="1" x14ac:dyDescent="0.3">
      <c r="A359" s="661"/>
      <c r="B359" s="661"/>
      <c r="C359" s="661"/>
      <c r="D359" s="321" t="s">
        <v>4</v>
      </c>
      <c r="E359" s="321" t="s">
        <v>5</v>
      </c>
      <c r="F359" s="321" t="s">
        <v>6</v>
      </c>
      <c r="G359" s="321" t="s">
        <v>7</v>
      </c>
      <c r="H359" s="321" t="s">
        <v>2</v>
      </c>
      <c r="I359" s="321" t="s">
        <v>3</v>
      </c>
      <c r="J359" s="209" t="s">
        <v>8</v>
      </c>
      <c r="K359" s="317" t="s">
        <v>9</v>
      </c>
      <c r="L359" s="317" t="s">
        <v>1963</v>
      </c>
      <c r="M359" s="317" t="s">
        <v>1964</v>
      </c>
    </row>
    <row r="360" spans="1:13" ht="48.75" customHeight="1" thickTop="1" thickBot="1" x14ac:dyDescent="0.3">
      <c r="A360" s="335" t="s">
        <v>1723</v>
      </c>
      <c r="B360" s="335" t="s">
        <v>1491</v>
      </c>
      <c r="C360" s="337" t="s">
        <v>18</v>
      </c>
      <c r="D360" s="337">
        <v>2</v>
      </c>
      <c r="E360" s="337">
        <v>30</v>
      </c>
      <c r="F360" s="337">
        <v>3</v>
      </c>
      <c r="G360" s="337">
        <v>848</v>
      </c>
      <c r="H360" s="346">
        <v>618200920</v>
      </c>
      <c r="I360" s="346">
        <v>199758930</v>
      </c>
      <c r="J360" s="340" t="s">
        <v>2064</v>
      </c>
      <c r="K360" s="337" t="s">
        <v>1601</v>
      </c>
      <c r="L360" s="337">
        <v>762</v>
      </c>
      <c r="M360" s="337">
        <v>264</v>
      </c>
    </row>
    <row r="361" spans="1:13" ht="39.75" customHeight="1" thickTop="1" thickBot="1" x14ac:dyDescent="0.3">
      <c r="A361" s="335" t="s">
        <v>1723</v>
      </c>
      <c r="B361" s="335" t="s">
        <v>1491</v>
      </c>
      <c r="C361" s="679" t="s">
        <v>53</v>
      </c>
      <c r="D361" s="337">
        <v>3</v>
      </c>
      <c r="E361" s="337">
        <v>30</v>
      </c>
      <c r="F361" s="337">
        <v>3</v>
      </c>
      <c r="G361" s="337">
        <v>521</v>
      </c>
      <c r="H361" s="346">
        <v>212770986</v>
      </c>
      <c r="I361" s="346">
        <f>70278549+45625945+68344617+17104070+11417805</f>
        <v>212770986</v>
      </c>
      <c r="J361" s="340" t="s">
        <v>2072</v>
      </c>
      <c r="K361" s="337" t="s">
        <v>81</v>
      </c>
      <c r="L361" s="337">
        <v>1</v>
      </c>
      <c r="M361" s="337">
        <v>1</v>
      </c>
    </row>
    <row r="362" spans="1:13" ht="39.75" customHeight="1" thickTop="1" thickBot="1" x14ac:dyDescent="0.3">
      <c r="A362" s="335" t="s">
        <v>1723</v>
      </c>
      <c r="B362" s="335" t="s">
        <v>1491</v>
      </c>
      <c r="C362" s="679"/>
      <c r="D362" s="337">
        <v>3</v>
      </c>
      <c r="E362" s="337">
        <v>30</v>
      </c>
      <c r="F362" s="337">
        <v>3</v>
      </c>
      <c r="G362" s="337">
        <v>521</v>
      </c>
      <c r="H362" s="346">
        <v>132000000</v>
      </c>
      <c r="I362" s="346">
        <v>100000000</v>
      </c>
      <c r="J362" s="340" t="s">
        <v>2065</v>
      </c>
      <c r="K362" s="337" t="s">
        <v>51</v>
      </c>
      <c r="L362" s="337">
        <v>800</v>
      </c>
      <c r="M362" s="337">
        <v>606</v>
      </c>
    </row>
    <row r="363" spans="1:13" ht="39.75" customHeight="1" thickTop="1" thickBot="1" x14ac:dyDescent="0.3">
      <c r="A363" s="335" t="s">
        <v>1723</v>
      </c>
      <c r="B363" s="335" t="s">
        <v>1491</v>
      </c>
      <c r="C363" s="679"/>
      <c r="D363" s="337">
        <v>3</v>
      </c>
      <c r="E363" s="337">
        <v>30</v>
      </c>
      <c r="F363" s="337">
        <v>3</v>
      </c>
      <c r="G363" s="337">
        <v>521</v>
      </c>
      <c r="H363" s="346">
        <f>112000000+22351500</f>
        <v>134351500</v>
      </c>
      <c r="I363" s="346">
        <f>63600000+30000000+12800000+5431951+5600000+16919549</f>
        <v>134351500</v>
      </c>
      <c r="J363" s="340" t="s">
        <v>2066</v>
      </c>
      <c r="K363" s="337" t="s">
        <v>15</v>
      </c>
      <c r="L363" s="337">
        <v>1</v>
      </c>
      <c r="M363" s="337">
        <v>1</v>
      </c>
    </row>
    <row r="364" spans="1:13" ht="39.75" customHeight="1" thickTop="1" thickBot="1" x14ac:dyDescent="0.3">
      <c r="A364" s="335" t="s">
        <v>1723</v>
      </c>
      <c r="B364" s="335" t="s">
        <v>1491</v>
      </c>
      <c r="C364" s="679"/>
      <c r="D364" s="337">
        <v>3</v>
      </c>
      <c r="E364" s="337">
        <v>30</v>
      </c>
      <c r="F364" s="337">
        <v>3</v>
      </c>
      <c r="G364" s="337">
        <v>521</v>
      </c>
      <c r="H364" s="346">
        <v>285328400</v>
      </c>
      <c r="I364" s="346">
        <v>285328400</v>
      </c>
      <c r="J364" s="340" t="s">
        <v>2067</v>
      </c>
      <c r="K364" s="337" t="s">
        <v>13</v>
      </c>
      <c r="L364" s="337">
        <v>3</v>
      </c>
      <c r="M364" s="337">
        <v>3</v>
      </c>
    </row>
    <row r="365" spans="1:13" ht="34.5" customHeight="1" thickTop="1" thickBot="1" x14ac:dyDescent="0.3">
      <c r="A365" s="335" t="s">
        <v>1723</v>
      </c>
      <c r="B365" s="335" t="s">
        <v>1491</v>
      </c>
      <c r="C365" s="679"/>
      <c r="D365" s="337">
        <v>3</v>
      </c>
      <c r="E365" s="337">
        <v>30</v>
      </c>
      <c r="F365" s="337">
        <v>3</v>
      </c>
      <c r="G365" s="337">
        <v>521</v>
      </c>
      <c r="H365" s="346">
        <v>151550326</v>
      </c>
      <c r="I365" s="346">
        <v>112897857</v>
      </c>
      <c r="J365" s="340" t="s">
        <v>2068</v>
      </c>
      <c r="K365" s="337" t="s">
        <v>11</v>
      </c>
      <c r="L365" s="337">
        <v>2800</v>
      </c>
      <c r="M365" s="337">
        <v>2085</v>
      </c>
    </row>
    <row r="366" spans="1:13" ht="42.75" customHeight="1" thickTop="1" thickBot="1" x14ac:dyDescent="0.3">
      <c r="A366" s="335" t="s">
        <v>1723</v>
      </c>
      <c r="B366" s="335" t="s">
        <v>1491</v>
      </c>
      <c r="C366" s="679"/>
      <c r="D366" s="337">
        <v>3</v>
      </c>
      <c r="E366" s="337">
        <v>30</v>
      </c>
      <c r="F366" s="337">
        <v>3</v>
      </c>
      <c r="G366" s="337">
        <v>521</v>
      </c>
      <c r="H366" s="346">
        <v>477634267</v>
      </c>
      <c r="I366" s="346">
        <v>0</v>
      </c>
      <c r="J366" s="340" t="s">
        <v>2069</v>
      </c>
      <c r="K366" s="337" t="s">
        <v>354</v>
      </c>
      <c r="L366" s="337">
        <v>5</v>
      </c>
      <c r="M366" s="337">
        <v>0</v>
      </c>
    </row>
    <row r="367" spans="1:13" ht="53.25" customHeight="1" thickTop="1" thickBot="1" x14ac:dyDescent="0.3">
      <c r="A367" s="335" t="s">
        <v>1723</v>
      </c>
      <c r="B367" s="335" t="s">
        <v>1491</v>
      </c>
      <c r="C367" s="351" t="s">
        <v>105</v>
      </c>
      <c r="D367" s="337">
        <v>3</v>
      </c>
      <c r="E367" s="337">
        <v>30</v>
      </c>
      <c r="F367" s="337">
        <v>3</v>
      </c>
      <c r="G367" s="337">
        <v>540</v>
      </c>
      <c r="H367" s="346">
        <v>50000000</v>
      </c>
      <c r="I367" s="346">
        <v>0</v>
      </c>
      <c r="J367" s="340" t="s">
        <v>2071</v>
      </c>
      <c r="K367" s="360" t="s">
        <v>383</v>
      </c>
      <c r="L367" s="337">
        <v>15</v>
      </c>
      <c r="M367" s="337">
        <v>0</v>
      </c>
    </row>
    <row r="368" spans="1:13" ht="15.75" thickTop="1" x14ac:dyDescent="0.25"/>
  </sheetData>
  <mergeCells count="259">
    <mergeCell ref="C41:C42"/>
    <mergeCell ref="C43:C44"/>
    <mergeCell ref="C45:C47"/>
    <mergeCell ref="C48:C49"/>
    <mergeCell ref="D41:D42"/>
    <mergeCell ref="E41:E42"/>
    <mergeCell ref="F41:F42"/>
    <mergeCell ref="G41:G42"/>
    <mergeCell ref="H41:H42"/>
    <mergeCell ref="B5:B6"/>
    <mergeCell ref="C5:C6"/>
    <mergeCell ref="D5:G5"/>
    <mergeCell ref="C23:C24"/>
    <mergeCell ref="C139:C140"/>
    <mergeCell ref="C10:C11"/>
    <mergeCell ref="C29:C33"/>
    <mergeCell ref="C34:C35"/>
    <mergeCell ref="C69:C70"/>
    <mergeCell ref="C77:C78"/>
    <mergeCell ref="B39:B40"/>
    <mergeCell ref="C39:C40"/>
    <mergeCell ref="D39:G39"/>
    <mergeCell ref="C82:C83"/>
    <mergeCell ref="C17:C20"/>
    <mergeCell ref="B26:B27"/>
    <mergeCell ref="C26:C27"/>
    <mergeCell ref="D26:G26"/>
    <mergeCell ref="C7:C8"/>
    <mergeCell ref="B14:B15"/>
    <mergeCell ref="C14:C15"/>
    <mergeCell ref="D14:G14"/>
    <mergeCell ref="B80:B81"/>
    <mergeCell ref="C80:C81"/>
    <mergeCell ref="B51:B52"/>
    <mergeCell ref="C51:C52"/>
    <mergeCell ref="D51:G51"/>
    <mergeCell ref="B106:B107"/>
    <mergeCell ref="C106:C107"/>
    <mergeCell ref="D106:G106"/>
    <mergeCell ref="B91:B92"/>
    <mergeCell ref="C91:C92"/>
    <mergeCell ref="D91:G91"/>
    <mergeCell ref="C84:C88"/>
    <mergeCell ref="C94:C102"/>
    <mergeCell ref="D82:D83"/>
    <mergeCell ref="E82:E83"/>
    <mergeCell ref="F82:F83"/>
    <mergeCell ref="G82:G83"/>
    <mergeCell ref="D80:G80"/>
    <mergeCell ref="B67:B68"/>
    <mergeCell ref="C67:C68"/>
    <mergeCell ref="D67:G67"/>
    <mergeCell ref="J128:M128"/>
    <mergeCell ref="C120:C124"/>
    <mergeCell ref="B128:B129"/>
    <mergeCell ref="C128:C129"/>
    <mergeCell ref="D128:G128"/>
    <mergeCell ref="B117:B118"/>
    <mergeCell ref="C117:C118"/>
    <mergeCell ref="D117:G117"/>
    <mergeCell ref="C109:C113"/>
    <mergeCell ref="H128:I128"/>
    <mergeCell ref="H156:I156"/>
    <mergeCell ref="J156:M156"/>
    <mergeCell ref="B156:B157"/>
    <mergeCell ref="C156:C157"/>
    <mergeCell ref="D156:G156"/>
    <mergeCell ref="H143:I143"/>
    <mergeCell ref="J143:M143"/>
    <mergeCell ref="D143:G143"/>
    <mergeCell ref="C131:C133"/>
    <mergeCell ref="C134:C138"/>
    <mergeCell ref="B143:B144"/>
    <mergeCell ref="C143:C144"/>
    <mergeCell ref="C149:C152"/>
    <mergeCell ref="C146:C148"/>
    <mergeCell ref="B178:B179"/>
    <mergeCell ref="C178:C179"/>
    <mergeCell ref="D178:G178"/>
    <mergeCell ref="B168:B169"/>
    <mergeCell ref="C168:C169"/>
    <mergeCell ref="D168:G168"/>
    <mergeCell ref="H168:I168"/>
    <mergeCell ref="J168:M168"/>
    <mergeCell ref="I165:I166"/>
    <mergeCell ref="C165:C166"/>
    <mergeCell ref="D165:D166"/>
    <mergeCell ref="E165:E166"/>
    <mergeCell ref="F165:F166"/>
    <mergeCell ref="G165:G166"/>
    <mergeCell ref="H165:H166"/>
    <mergeCell ref="B212:B213"/>
    <mergeCell ref="C212:C213"/>
    <mergeCell ref="D212:G212"/>
    <mergeCell ref="B195:B196"/>
    <mergeCell ref="C195:C196"/>
    <mergeCell ref="D195:G195"/>
    <mergeCell ref="H184:I184"/>
    <mergeCell ref="J184:M184"/>
    <mergeCell ref="H195:I195"/>
    <mergeCell ref="J195:M195"/>
    <mergeCell ref="B184:B185"/>
    <mergeCell ref="C184:C185"/>
    <mergeCell ref="D184:G184"/>
    <mergeCell ref="J231:M231"/>
    <mergeCell ref="C231:C232"/>
    <mergeCell ref="B231:B232"/>
    <mergeCell ref="D231:G231"/>
    <mergeCell ref="B220:B221"/>
    <mergeCell ref="H220:I220"/>
    <mergeCell ref="J220:M220"/>
    <mergeCell ref="C223:C225"/>
    <mergeCell ref="C227:C228"/>
    <mergeCell ref="K227:K228"/>
    <mergeCell ref="C220:C221"/>
    <mergeCell ref="D220:G220"/>
    <mergeCell ref="J257:M257"/>
    <mergeCell ref="B257:B258"/>
    <mergeCell ref="C257:C258"/>
    <mergeCell ref="D257:G257"/>
    <mergeCell ref="H243:I243"/>
    <mergeCell ref="J243:M243"/>
    <mergeCell ref="C234:C237"/>
    <mergeCell ref="C238:C239"/>
    <mergeCell ref="B243:B244"/>
    <mergeCell ref="C243:C244"/>
    <mergeCell ref="D243:G243"/>
    <mergeCell ref="C246:C253"/>
    <mergeCell ref="J276:M276"/>
    <mergeCell ref="H288:I288"/>
    <mergeCell ref="J288:M288"/>
    <mergeCell ref="B276:B277"/>
    <mergeCell ref="C276:C277"/>
    <mergeCell ref="D276:G276"/>
    <mergeCell ref="H268:I268"/>
    <mergeCell ref="C261:C265"/>
    <mergeCell ref="B268:B269"/>
    <mergeCell ref="C268:C269"/>
    <mergeCell ref="D268:G268"/>
    <mergeCell ref="J268:M268"/>
    <mergeCell ref="C271:C272"/>
    <mergeCell ref="H276:I276"/>
    <mergeCell ref="J296:M296"/>
    <mergeCell ref="B296:B297"/>
    <mergeCell ref="C296:C297"/>
    <mergeCell ref="D296:G296"/>
    <mergeCell ref="B288:B289"/>
    <mergeCell ref="C288:C289"/>
    <mergeCell ref="D288:G288"/>
    <mergeCell ref="D278:D279"/>
    <mergeCell ref="E278:E279"/>
    <mergeCell ref="F278:F279"/>
    <mergeCell ref="G278:G279"/>
    <mergeCell ref="C278:C279"/>
    <mergeCell ref="C280:C285"/>
    <mergeCell ref="C293:C294"/>
    <mergeCell ref="H296:I296"/>
    <mergeCell ref="D312:G312"/>
    <mergeCell ref="B304:B305"/>
    <mergeCell ref="H304:I304"/>
    <mergeCell ref="J304:M304"/>
    <mergeCell ref="H312:I312"/>
    <mergeCell ref="J312:M312"/>
    <mergeCell ref="C307:C308"/>
    <mergeCell ref="C299:C300"/>
    <mergeCell ref="C304:C305"/>
    <mergeCell ref="D304:G304"/>
    <mergeCell ref="D358:G358"/>
    <mergeCell ref="H337:I337"/>
    <mergeCell ref="J337:M337"/>
    <mergeCell ref="H358:I358"/>
    <mergeCell ref="J358:M358"/>
    <mergeCell ref="C361:C366"/>
    <mergeCell ref="B337:B338"/>
    <mergeCell ref="C337:C338"/>
    <mergeCell ref="D337:G337"/>
    <mergeCell ref="C347:C355"/>
    <mergeCell ref="A5:A6"/>
    <mergeCell ref="A14:A15"/>
    <mergeCell ref="A26:A27"/>
    <mergeCell ref="A39:A40"/>
    <mergeCell ref="A51:A52"/>
    <mergeCell ref="A67:A68"/>
    <mergeCell ref="A80:A81"/>
    <mergeCell ref="A91:A92"/>
    <mergeCell ref="A106:A107"/>
    <mergeCell ref="A304:A305"/>
    <mergeCell ref="A117:A118"/>
    <mergeCell ref="A128:A129"/>
    <mergeCell ref="A143:A144"/>
    <mergeCell ref="A156:A157"/>
    <mergeCell ref="A168:A169"/>
    <mergeCell ref="A178:A179"/>
    <mergeCell ref="A184:A185"/>
    <mergeCell ref="A195:A196"/>
    <mergeCell ref="A212:A213"/>
    <mergeCell ref="A220:A221"/>
    <mergeCell ref="A231:A232"/>
    <mergeCell ref="A243:A244"/>
    <mergeCell ref="A257:A258"/>
    <mergeCell ref="A268:A269"/>
    <mergeCell ref="A276:A277"/>
    <mergeCell ref="A288:A289"/>
    <mergeCell ref="A296:A297"/>
    <mergeCell ref="C259:C260"/>
    <mergeCell ref="D259:D260"/>
    <mergeCell ref="E259:E260"/>
    <mergeCell ref="F259:F260"/>
    <mergeCell ref="G259:G260"/>
    <mergeCell ref="H259:H260"/>
    <mergeCell ref="I259:I260"/>
    <mergeCell ref="H257:I257"/>
    <mergeCell ref="H231:I231"/>
    <mergeCell ref="C215:C218"/>
    <mergeCell ref="H212:I212"/>
    <mergeCell ref="C187:C189"/>
    <mergeCell ref="C190:C192"/>
    <mergeCell ref="H67:I67"/>
    <mergeCell ref="J67:M67"/>
    <mergeCell ref="H80:I80"/>
    <mergeCell ref="J80:M80"/>
    <mergeCell ref="H91:I91"/>
    <mergeCell ref="J91:M91"/>
    <mergeCell ref="H106:I106"/>
    <mergeCell ref="J106:M106"/>
    <mergeCell ref="H117:I117"/>
    <mergeCell ref="J117:M117"/>
    <mergeCell ref="H82:H83"/>
    <mergeCell ref="I82:I83"/>
    <mergeCell ref="J212:M212"/>
    <mergeCell ref="C198:C207"/>
    <mergeCell ref="C209:C210"/>
    <mergeCell ref="H178:I178"/>
    <mergeCell ref="J178:M178"/>
    <mergeCell ref="C172:C174"/>
    <mergeCell ref="C159:C162"/>
    <mergeCell ref="C163:C164"/>
    <mergeCell ref="H5:I5"/>
    <mergeCell ref="J5:M5"/>
    <mergeCell ref="H14:I14"/>
    <mergeCell ref="J14:M14"/>
    <mergeCell ref="H26:I26"/>
    <mergeCell ref="J26:M26"/>
    <mergeCell ref="H39:I39"/>
    <mergeCell ref="J39:M39"/>
    <mergeCell ref="H51:I51"/>
    <mergeCell ref="J51:M51"/>
    <mergeCell ref="I41:I42"/>
    <mergeCell ref="C315:C331"/>
    <mergeCell ref="C332:C334"/>
    <mergeCell ref="C340:C346"/>
    <mergeCell ref="A312:A313"/>
    <mergeCell ref="A337:A338"/>
    <mergeCell ref="C309:C310"/>
    <mergeCell ref="B312:B313"/>
    <mergeCell ref="C312:C313"/>
    <mergeCell ref="A358:A359"/>
    <mergeCell ref="B358:B359"/>
    <mergeCell ref="C358:C359"/>
  </mergeCells>
  <printOptions horizontalCentered="1"/>
  <pageMargins left="0" right="0" top="0.74803149606299213" bottom="0.74803149606299213" header="0.31496062992125984" footer="0.31496062992125984"/>
  <pageSetup scale="66" orientation="landscape" r:id="rId1"/>
  <ignoredErrors>
    <ignoredError sqref="D8:E12 G333 D7:E7 G272:G274 L271:M272 G110:G111 D113:E113 L113:M113 L330:M333 L319 F170:G170 L274:M274 G113 G115 L115:M115 M112 L114:M114 G114 F108:F115 G270 G271 F270:F274"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XFD103"/>
  <sheetViews>
    <sheetView showGridLines="0" zoomScaleNormal="100" workbookViewId="0">
      <selection activeCell="C5" sqref="C5:C6"/>
    </sheetView>
  </sheetViews>
  <sheetFormatPr baseColWidth="10" defaultRowHeight="15" x14ac:dyDescent="0.25"/>
  <cols>
    <col min="1" max="1" width="19.7109375" customWidth="1"/>
    <col min="2" max="2" width="19.85546875" customWidth="1"/>
    <col min="3" max="3" width="21.85546875" style="83" customWidth="1"/>
    <col min="4" max="7" width="8.7109375" customWidth="1"/>
    <col min="8" max="9" width="15.140625" customWidth="1"/>
    <col min="10" max="10" width="32.140625" customWidth="1"/>
    <col min="11" max="11" width="12.140625" customWidth="1"/>
    <col min="12" max="13" width="15.140625" customWidth="1"/>
  </cols>
  <sheetData>
    <row r="4" spans="1:13" ht="15.75" thickBot="1" x14ac:dyDescent="0.3"/>
    <row r="5" spans="1:13" ht="30" customHeight="1" thickTop="1" thickBot="1" x14ac:dyDescent="0.3">
      <c r="A5" s="639" t="s">
        <v>0</v>
      </c>
      <c r="B5" s="639" t="s">
        <v>1</v>
      </c>
      <c r="C5" s="639" t="s">
        <v>2569</v>
      </c>
      <c r="D5" s="636" t="s">
        <v>1961</v>
      </c>
      <c r="E5" s="637"/>
      <c r="F5" s="637"/>
      <c r="G5" s="638"/>
      <c r="H5" s="636" t="s">
        <v>3</v>
      </c>
      <c r="I5" s="637"/>
      <c r="J5" s="636" t="s">
        <v>1962</v>
      </c>
      <c r="K5" s="637"/>
      <c r="L5" s="637"/>
      <c r="M5" s="638"/>
    </row>
    <row r="6" spans="1:13" ht="34.5" customHeight="1" thickTop="1" thickBot="1" x14ac:dyDescent="0.3">
      <c r="A6" s="640"/>
      <c r="B6" s="640"/>
      <c r="C6" s="640"/>
      <c r="D6" s="209" t="s">
        <v>4</v>
      </c>
      <c r="E6" s="209" t="s">
        <v>5</v>
      </c>
      <c r="F6" s="209" t="s">
        <v>6</v>
      </c>
      <c r="G6" s="209" t="s">
        <v>7</v>
      </c>
      <c r="H6" s="209" t="s">
        <v>2</v>
      </c>
      <c r="I6" s="209" t="s">
        <v>3</v>
      </c>
      <c r="J6" s="209" t="s">
        <v>8</v>
      </c>
      <c r="K6" s="389" t="s">
        <v>9</v>
      </c>
      <c r="L6" s="389" t="s">
        <v>1963</v>
      </c>
      <c r="M6" s="389" t="s">
        <v>1964</v>
      </c>
    </row>
    <row r="7" spans="1:13" s="84" customFormat="1" ht="37.5" customHeight="1" thickTop="1" thickBot="1" x14ac:dyDescent="0.25">
      <c r="A7" s="404" t="s">
        <v>799</v>
      </c>
      <c r="B7" s="404" t="s">
        <v>800</v>
      </c>
      <c r="C7" s="649" t="s">
        <v>18</v>
      </c>
      <c r="D7" s="691">
        <v>2</v>
      </c>
      <c r="E7" s="691">
        <v>30</v>
      </c>
      <c r="F7" s="691">
        <v>3</v>
      </c>
      <c r="G7" s="691">
        <v>848</v>
      </c>
      <c r="H7" s="645">
        <v>948205981</v>
      </c>
      <c r="I7" s="694">
        <v>415686090</v>
      </c>
      <c r="J7" s="696" t="s">
        <v>730</v>
      </c>
      <c r="K7" s="424" t="s">
        <v>20</v>
      </c>
      <c r="L7" s="404">
        <v>365</v>
      </c>
      <c r="M7" s="404">
        <v>160</v>
      </c>
    </row>
    <row r="8" spans="1:13" s="84" customFormat="1" ht="37.5" customHeight="1" thickTop="1" thickBot="1" x14ac:dyDescent="0.25">
      <c r="A8" s="404" t="s">
        <v>799</v>
      </c>
      <c r="B8" s="404" t="s">
        <v>800</v>
      </c>
      <c r="C8" s="650"/>
      <c r="D8" s="692"/>
      <c r="E8" s="692"/>
      <c r="F8" s="692"/>
      <c r="G8" s="692"/>
      <c r="H8" s="646"/>
      <c r="I8" s="695"/>
      <c r="J8" s="697"/>
      <c r="K8" s="424" t="s">
        <v>75</v>
      </c>
      <c r="L8" s="405">
        <v>58250</v>
      </c>
      <c r="M8" s="405">
        <v>25500</v>
      </c>
    </row>
    <row r="9" spans="1:13" s="84" customFormat="1" ht="49.5" customHeight="1" thickTop="1" thickBot="1" x14ac:dyDescent="0.25">
      <c r="A9" s="404" t="s">
        <v>799</v>
      </c>
      <c r="B9" s="404" t="s">
        <v>800</v>
      </c>
      <c r="C9" s="404" t="s">
        <v>53</v>
      </c>
      <c r="D9" s="404">
        <v>2</v>
      </c>
      <c r="E9" s="404">
        <v>30</v>
      </c>
      <c r="F9" s="404">
        <v>3</v>
      </c>
      <c r="G9" s="404">
        <v>520</v>
      </c>
      <c r="H9" s="212">
        <f>98946360+15898080+89778720+226621200</f>
        <v>431244360</v>
      </c>
      <c r="I9" s="212">
        <v>212747749</v>
      </c>
      <c r="J9" s="216" t="s">
        <v>731</v>
      </c>
      <c r="K9" s="401" t="s">
        <v>13</v>
      </c>
      <c r="L9" s="404">
        <v>4</v>
      </c>
      <c r="M9" s="404">
        <v>2</v>
      </c>
    </row>
    <row r="10" spans="1:13" s="84" customFormat="1" ht="49.5" customHeight="1" thickTop="1" thickBot="1" x14ac:dyDescent="0.25">
      <c r="A10" s="404" t="s">
        <v>799</v>
      </c>
      <c r="B10" s="404" t="s">
        <v>800</v>
      </c>
      <c r="C10" s="404" t="s">
        <v>53</v>
      </c>
      <c r="D10" s="404">
        <v>2</v>
      </c>
      <c r="E10" s="404">
        <v>30</v>
      </c>
      <c r="F10" s="404">
        <v>3</v>
      </c>
      <c r="G10" s="404">
        <v>520</v>
      </c>
      <c r="H10" s="212">
        <f>1215782037+565454225</f>
        <v>1781236262</v>
      </c>
      <c r="I10" s="212">
        <f>505943609+300000000</f>
        <v>805943609</v>
      </c>
      <c r="J10" s="216" t="s">
        <v>732</v>
      </c>
      <c r="K10" s="401" t="s">
        <v>55</v>
      </c>
      <c r="L10" s="404">
        <v>12</v>
      </c>
      <c r="M10" s="404">
        <v>6</v>
      </c>
    </row>
    <row r="11" spans="1:13" s="54" customFormat="1" ht="12.75" customHeight="1" thickTop="1" thickBot="1" x14ac:dyDescent="0.3">
      <c r="A11" s="129"/>
      <c r="B11" s="128"/>
      <c r="C11" s="130"/>
      <c r="D11" s="12"/>
      <c r="E11" s="12"/>
      <c r="F11" s="12"/>
      <c r="G11" s="12"/>
      <c r="H11" s="10"/>
      <c r="I11" s="10"/>
      <c r="J11" s="131"/>
      <c r="K11" s="12"/>
      <c r="L11" s="11"/>
      <c r="M11" s="11"/>
    </row>
    <row r="12" spans="1:13" s="127" customFormat="1" ht="30" customHeight="1" thickTop="1" thickBot="1" x14ac:dyDescent="0.25">
      <c r="A12" s="639" t="s">
        <v>0</v>
      </c>
      <c r="B12" s="639" t="s">
        <v>1</v>
      </c>
      <c r="C12" s="639" t="s">
        <v>2569</v>
      </c>
      <c r="D12" s="636" t="s">
        <v>1961</v>
      </c>
      <c r="E12" s="637"/>
      <c r="F12" s="637"/>
      <c r="G12" s="638"/>
      <c r="H12" s="636" t="s">
        <v>3</v>
      </c>
      <c r="I12" s="637"/>
      <c r="J12" s="636" t="s">
        <v>1962</v>
      </c>
      <c r="K12" s="637"/>
      <c r="L12" s="637"/>
      <c r="M12" s="638"/>
    </row>
    <row r="13" spans="1:13" s="127" customFormat="1" ht="34.5" customHeight="1" thickTop="1" thickBot="1" x14ac:dyDescent="0.25">
      <c r="A13" s="640"/>
      <c r="B13" s="640"/>
      <c r="C13" s="640"/>
      <c r="D13" s="209" t="s">
        <v>4</v>
      </c>
      <c r="E13" s="209" t="s">
        <v>5</v>
      </c>
      <c r="F13" s="209" t="s">
        <v>6</v>
      </c>
      <c r="G13" s="209" t="s">
        <v>7</v>
      </c>
      <c r="H13" s="209" t="s">
        <v>2</v>
      </c>
      <c r="I13" s="209" t="s">
        <v>3</v>
      </c>
      <c r="J13" s="209" t="s">
        <v>8</v>
      </c>
      <c r="K13" s="389" t="s">
        <v>9</v>
      </c>
      <c r="L13" s="389" t="s">
        <v>1963</v>
      </c>
      <c r="M13" s="389" t="s">
        <v>1964</v>
      </c>
    </row>
    <row r="14" spans="1:13" s="84" customFormat="1" ht="63.75" customHeight="1" thickTop="1" thickBot="1" x14ac:dyDescent="0.25">
      <c r="A14" s="404" t="s">
        <v>801</v>
      </c>
      <c r="B14" s="404" t="s">
        <v>802</v>
      </c>
      <c r="C14" s="404" t="s">
        <v>18</v>
      </c>
      <c r="D14" s="404">
        <v>3</v>
      </c>
      <c r="E14" s="404">
        <v>30</v>
      </c>
      <c r="F14" s="404">
        <v>3</v>
      </c>
      <c r="G14" s="404">
        <v>848</v>
      </c>
      <c r="H14" s="212">
        <v>642110244</v>
      </c>
      <c r="I14" s="212">
        <v>514365000</v>
      </c>
      <c r="J14" s="216" t="s">
        <v>733</v>
      </c>
      <c r="K14" s="401" t="s">
        <v>20</v>
      </c>
      <c r="L14" s="404">
        <v>353</v>
      </c>
      <c r="M14" s="404">
        <v>353</v>
      </c>
    </row>
    <row r="15" spans="1:13" s="84" customFormat="1" ht="49.5" customHeight="1" thickTop="1" thickBot="1" x14ac:dyDescent="0.25">
      <c r="A15" s="404" t="s">
        <v>801</v>
      </c>
      <c r="B15" s="404" t="s">
        <v>802</v>
      </c>
      <c r="C15" s="404" t="s">
        <v>53</v>
      </c>
      <c r="D15" s="404">
        <v>3</v>
      </c>
      <c r="E15" s="404">
        <v>30</v>
      </c>
      <c r="F15" s="404">
        <v>3</v>
      </c>
      <c r="G15" s="404">
        <v>520</v>
      </c>
      <c r="H15" s="212">
        <f>123000000+112000000+78000000+84000000+111000000-12000000+151521314</f>
        <v>647521314</v>
      </c>
      <c r="I15" s="212">
        <f>33359230+24368936+25760231+27709036+4801056+32675508+49779712+300199502</f>
        <v>498653211</v>
      </c>
      <c r="J15" s="216" t="s">
        <v>803</v>
      </c>
      <c r="K15" s="401" t="s">
        <v>55</v>
      </c>
      <c r="L15" s="404">
        <v>5</v>
      </c>
      <c r="M15" s="404">
        <v>3</v>
      </c>
    </row>
    <row r="16" spans="1:13" s="84" customFormat="1" ht="49.5" customHeight="1" thickTop="1" thickBot="1" x14ac:dyDescent="0.25">
      <c r="A16" s="404" t="s">
        <v>801</v>
      </c>
      <c r="B16" s="404" t="s">
        <v>802</v>
      </c>
      <c r="C16" s="404" t="s">
        <v>53</v>
      </c>
      <c r="D16" s="404">
        <v>3</v>
      </c>
      <c r="E16" s="404">
        <v>30</v>
      </c>
      <c r="F16" s="404">
        <v>3</v>
      </c>
      <c r="G16" s="404">
        <v>520</v>
      </c>
      <c r="H16" s="212">
        <f>40000000+38748586</f>
        <v>78748586</v>
      </c>
      <c r="I16" s="212">
        <v>68871801</v>
      </c>
      <c r="J16" s="216" t="s">
        <v>734</v>
      </c>
      <c r="K16" s="401" t="s">
        <v>25</v>
      </c>
      <c r="L16" s="404">
        <v>2</v>
      </c>
      <c r="M16" s="404">
        <v>2</v>
      </c>
    </row>
    <row r="17" spans="1:13" s="84" customFormat="1" ht="52.5" customHeight="1" thickTop="1" thickBot="1" x14ac:dyDescent="0.25">
      <c r="A17" s="404" t="s">
        <v>801</v>
      </c>
      <c r="B17" s="404" t="s">
        <v>802</v>
      </c>
      <c r="C17" s="404" t="s">
        <v>53</v>
      </c>
      <c r="D17" s="404">
        <v>3</v>
      </c>
      <c r="E17" s="404">
        <v>30</v>
      </c>
      <c r="F17" s="404">
        <v>3</v>
      </c>
      <c r="G17" s="404">
        <v>520</v>
      </c>
      <c r="H17" s="212">
        <f>47000000+96500000+12000000</f>
        <v>155500000</v>
      </c>
      <c r="I17" s="212">
        <v>154449779</v>
      </c>
      <c r="J17" s="216" t="s">
        <v>735</v>
      </c>
      <c r="K17" s="401" t="s">
        <v>55</v>
      </c>
      <c r="L17" s="404">
        <v>7</v>
      </c>
      <c r="M17" s="404">
        <v>7</v>
      </c>
    </row>
    <row r="18" spans="1:13" s="84" customFormat="1" ht="52.5" customHeight="1" thickTop="1" thickBot="1" x14ac:dyDescent="0.25">
      <c r="A18" s="404" t="s">
        <v>801</v>
      </c>
      <c r="B18" s="404" t="s">
        <v>802</v>
      </c>
      <c r="C18" s="404" t="s">
        <v>53</v>
      </c>
      <c r="D18" s="404">
        <v>3</v>
      </c>
      <c r="E18" s="404">
        <v>30</v>
      </c>
      <c r="F18" s="404">
        <v>3</v>
      </c>
      <c r="G18" s="404">
        <v>520</v>
      </c>
      <c r="H18" s="212">
        <v>21700000</v>
      </c>
      <c r="I18" s="212">
        <v>21005761</v>
      </c>
      <c r="J18" s="216" t="s">
        <v>736</v>
      </c>
      <c r="K18" s="401" t="s">
        <v>25</v>
      </c>
      <c r="L18" s="404">
        <v>3</v>
      </c>
      <c r="M18" s="404">
        <v>3</v>
      </c>
    </row>
    <row r="19" spans="1:13" s="84" customFormat="1" ht="49.5" customHeight="1" thickTop="1" thickBot="1" x14ac:dyDescent="0.25">
      <c r="A19" s="404" t="s">
        <v>801</v>
      </c>
      <c r="B19" s="404" t="s">
        <v>802</v>
      </c>
      <c r="C19" s="404" t="s">
        <v>53</v>
      </c>
      <c r="D19" s="404">
        <v>3</v>
      </c>
      <c r="E19" s="404">
        <v>30</v>
      </c>
      <c r="F19" s="404">
        <v>3</v>
      </c>
      <c r="G19" s="404">
        <v>520</v>
      </c>
      <c r="H19" s="212">
        <v>92000000</v>
      </c>
      <c r="I19" s="212">
        <v>90641389</v>
      </c>
      <c r="J19" s="216" t="s">
        <v>737</v>
      </c>
      <c r="K19" s="401" t="s">
        <v>738</v>
      </c>
      <c r="L19" s="404">
        <v>2</v>
      </c>
      <c r="M19" s="404">
        <v>2</v>
      </c>
    </row>
    <row r="20" spans="1:13" s="84" customFormat="1" ht="46.5" customHeight="1" thickTop="1" thickBot="1" x14ac:dyDescent="0.25">
      <c r="A20" s="404" t="s">
        <v>801</v>
      </c>
      <c r="B20" s="404" t="s">
        <v>802</v>
      </c>
      <c r="C20" s="404" t="s">
        <v>105</v>
      </c>
      <c r="D20" s="404">
        <v>3</v>
      </c>
      <c r="E20" s="404">
        <v>30</v>
      </c>
      <c r="F20" s="404">
        <v>3</v>
      </c>
      <c r="G20" s="404">
        <v>540</v>
      </c>
      <c r="H20" s="212">
        <f>19*1100000</f>
        <v>20900000</v>
      </c>
      <c r="I20" s="212">
        <f>21375000-475000</f>
        <v>20900000</v>
      </c>
      <c r="J20" s="216" t="s">
        <v>739</v>
      </c>
      <c r="K20" s="401" t="s">
        <v>66</v>
      </c>
      <c r="L20" s="404">
        <v>19</v>
      </c>
      <c r="M20" s="404">
        <v>19</v>
      </c>
    </row>
    <row r="21" spans="1:13" s="84" customFormat="1" ht="43.5" customHeight="1" thickTop="1" thickBot="1" x14ac:dyDescent="0.25">
      <c r="A21" s="404" t="s">
        <v>801</v>
      </c>
      <c r="B21" s="404" t="s">
        <v>802</v>
      </c>
      <c r="C21" s="420" t="s">
        <v>105</v>
      </c>
      <c r="D21" s="404">
        <v>3</v>
      </c>
      <c r="E21" s="404">
        <v>30</v>
      </c>
      <c r="F21" s="404">
        <v>3</v>
      </c>
      <c r="G21" s="404">
        <v>540</v>
      </c>
      <c r="H21" s="212">
        <f>54*700000-8000000-1500000</f>
        <v>28300000</v>
      </c>
      <c r="I21" s="212">
        <f>19500000+8305000+475000</f>
        <v>28280000</v>
      </c>
      <c r="J21" s="216" t="s">
        <v>2099</v>
      </c>
      <c r="K21" s="401" t="s">
        <v>2101</v>
      </c>
      <c r="L21" s="404">
        <v>40</v>
      </c>
      <c r="M21" s="404">
        <v>37</v>
      </c>
    </row>
    <row r="22" spans="1:13" s="84" customFormat="1" ht="43.5" customHeight="1" thickTop="1" thickBot="1" x14ac:dyDescent="0.25">
      <c r="A22" s="404" t="s">
        <v>801</v>
      </c>
      <c r="B22" s="404" t="s">
        <v>802</v>
      </c>
      <c r="C22" s="420" t="s">
        <v>105</v>
      </c>
      <c r="D22" s="404">
        <v>3</v>
      </c>
      <c r="E22" s="404">
        <v>30</v>
      </c>
      <c r="F22" s="404">
        <v>3</v>
      </c>
      <c r="G22" s="404">
        <v>540</v>
      </c>
      <c r="H22" s="212">
        <f>33000000+1500000</f>
        <v>34500000</v>
      </c>
      <c r="I22" s="212">
        <v>34320000</v>
      </c>
      <c r="J22" s="216" t="s">
        <v>740</v>
      </c>
      <c r="K22" s="401" t="s">
        <v>741</v>
      </c>
      <c r="L22" s="404">
        <v>33</v>
      </c>
      <c r="M22" s="404">
        <v>33</v>
      </c>
    </row>
    <row r="23" spans="1:13" s="84" customFormat="1" ht="43.5" customHeight="1" thickTop="1" thickBot="1" x14ac:dyDescent="0.25">
      <c r="A23" s="404" t="s">
        <v>801</v>
      </c>
      <c r="B23" s="404" t="s">
        <v>802</v>
      </c>
      <c r="C23" s="420" t="s">
        <v>105</v>
      </c>
      <c r="D23" s="404">
        <v>3</v>
      </c>
      <c r="E23" s="404">
        <v>30</v>
      </c>
      <c r="F23" s="404">
        <v>3</v>
      </c>
      <c r="G23" s="404">
        <v>540</v>
      </c>
      <c r="H23" s="212">
        <f>195000*6+4823857</f>
        <v>5993857</v>
      </c>
      <c r="I23" s="212">
        <v>780000</v>
      </c>
      <c r="J23" s="216" t="s">
        <v>742</v>
      </c>
      <c r="K23" s="401" t="s">
        <v>46</v>
      </c>
      <c r="L23" s="404">
        <v>6</v>
      </c>
      <c r="M23" s="404">
        <v>6</v>
      </c>
    </row>
    <row r="24" spans="1:13" s="84" customFormat="1" ht="49.5" customHeight="1" thickTop="1" thickBot="1" x14ac:dyDescent="0.25">
      <c r="A24" s="404" t="s">
        <v>801</v>
      </c>
      <c r="B24" s="404" t="s">
        <v>802</v>
      </c>
      <c r="C24" s="420" t="s">
        <v>105</v>
      </c>
      <c r="D24" s="404">
        <v>3</v>
      </c>
      <c r="E24" s="404">
        <v>30</v>
      </c>
      <c r="F24" s="404">
        <v>3</v>
      </c>
      <c r="G24" s="404">
        <v>540</v>
      </c>
      <c r="H24" s="212">
        <f>16900000+18200000</f>
        <v>35100000</v>
      </c>
      <c r="I24" s="212">
        <f>16900000+18200000</f>
        <v>35100000</v>
      </c>
      <c r="J24" s="216" t="s">
        <v>743</v>
      </c>
      <c r="K24" s="401" t="s">
        <v>539</v>
      </c>
      <c r="L24" s="404">
        <v>153</v>
      </c>
      <c r="M24" s="404">
        <v>153</v>
      </c>
    </row>
    <row r="25" spans="1:13" s="84" customFormat="1" ht="42.75" customHeight="1" thickTop="1" thickBot="1" x14ac:dyDescent="0.25">
      <c r="A25" s="404" t="s">
        <v>801</v>
      </c>
      <c r="B25" s="404" t="s">
        <v>802</v>
      </c>
      <c r="C25" s="420" t="s">
        <v>105</v>
      </c>
      <c r="D25" s="404">
        <v>3</v>
      </c>
      <c r="E25" s="404">
        <v>30</v>
      </c>
      <c r="F25" s="404">
        <v>3</v>
      </c>
      <c r="G25" s="404">
        <v>540</v>
      </c>
      <c r="H25" s="212">
        <f>11050000+14450000</f>
        <v>25500000</v>
      </c>
      <c r="I25" s="212">
        <f>14450000+11050000</f>
        <v>25500000</v>
      </c>
      <c r="J25" s="216" t="s">
        <v>744</v>
      </c>
      <c r="K25" s="401" t="s">
        <v>539</v>
      </c>
      <c r="L25" s="404">
        <v>85</v>
      </c>
      <c r="M25" s="404">
        <v>85</v>
      </c>
    </row>
    <row r="26" spans="1:13" s="84" customFormat="1" ht="42.75" customHeight="1" thickTop="1" thickBot="1" x14ac:dyDescent="0.25">
      <c r="A26" s="404" t="s">
        <v>801</v>
      </c>
      <c r="B26" s="404" t="s">
        <v>802</v>
      </c>
      <c r="C26" s="420" t="s">
        <v>105</v>
      </c>
      <c r="D26" s="404">
        <v>3</v>
      </c>
      <c r="E26" s="404">
        <v>30</v>
      </c>
      <c r="F26" s="404">
        <v>3</v>
      </c>
      <c r="G26" s="404">
        <v>540</v>
      </c>
      <c r="H26" s="212">
        <f>46080000+33280000+92870000+8000000</f>
        <v>180230000</v>
      </c>
      <c r="I26" s="212">
        <f>46080000+33280000+100750000</f>
        <v>180110000</v>
      </c>
      <c r="J26" s="216" t="s">
        <v>745</v>
      </c>
      <c r="K26" s="401" t="s">
        <v>746</v>
      </c>
      <c r="L26" s="404">
        <v>581</v>
      </c>
      <c r="M26" s="404">
        <v>581</v>
      </c>
    </row>
    <row r="27" spans="1:13" s="54" customFormat="1" ht="19.5" customHeight="1" thickTop="1" thickBot="1" x14ac:dyDescent="0.3">
      <c r="A27" s="133"/>
      <c r="B27" s="132"/>
      <c r="C27" s="5"/>
      <c r="D27" s="12"/>
      <c r="E27" s="12"/>
      <c r="F27" s="12"/>
      <c r="G27" s="12"/>
      <c r="H27" s="10"/>
      <c r="I27" s="10"/>
      <c r="J27" s="131"/>
      <c r="K27" s="12"/>
      <c r="L27" s="11"/>
      <c r="M27" s="11"/>
    </row>
    <row r="28" spans="1:13" s="127" customFormat="1" ht="30" customHeight="1" thickTop="1" thickBot="1" x14ac:dyDescent="0.25">
      <c r="A28" s="639" t="s">
        <v>0</v>
      </c>
      <c r="B28" s="639" t="s">
        <v>1</v>
      </c>
      <c r="C28" s="639" t="s">
        <v>2569</v>
      </c>
      <c r="D28" s="636" t="s">
        <v>1961</v>
      </c>
      <c r="E28" s="637"/>
      <c r="F28" s="637"/>
      <c r="G28" s="638"/>
      <c r="H28" s="636" t="s">
        <v>3</v>
      </c>
      <c r="I28" s="637"/>
      <c r="J28" s="636" t="s">
        <v>1962</v>
      </c>
      <c r="K28" s="637"/>
      <c r="L28" s="637"/>
      <c r="M28" s="638"/>
    </row>
    <row r="29" spans="1:13" s="127" customFormat="1" ht="34.5" customHeight="1" thickTop="1" thickBot="1" x14ac:dyDescent="0.25">
      <c r="A29" s="640"/>
      <c r="B29" s="640"/>
      <c r="C29" s="640"/>
      <c r="D29" s="209" t="s">
        <v>4</v>
      </c>
      <c r="E29" s="209" t="s">
        <v>5</v>
      </c>
      <c r="F29" s="209" t="s">
        <v>6</v>
      </c>
      <c r="G29" s="209" t="s">
        <v>7</v>
      </c>
      <c r="H29" s="209" t="s">
        <v>2</v>
      </c>
      <c r="I29" s="209" t="s">
        <v>3</v>
      </c>
      <c r="J29" s="209" t="s">
        <v>8</v>
      </c>
      <c r="K29" s="389" t="s">
        <v>9</v>
      </c>
      <c r="L29" s="389" t="s">
        <v>1963</v>
      </c>
      <c r="M29" s="389" t="s">
        <v>1964</v>
      </c>
    </row>
    <row r="30" spans="1:13" s="84" customFormat="1" ht="54" customHeight="1" thickTop="1" thickBot="1" x14ac:dyDescent="0.25">
      <c r="A30" s="404" t="s">
        <v>804</v>
      </c>
      <c r="B30" s="404" t="s">
        <v>802</v>
      </c>
      <c r="C30" s="405" t="s">
        <v>18</v>
      </c>
      <c r="D30" s="404">
        <v>3</v>
      </c>
      <c r="E30" s="404">
        <v>30</v>
      </c>
      <c r="F30" s="404">
        <v>3</v>
      </c>
      <c r="G30" s="404">
        <v>848</v>
      </c>
      <c r="H30" s="212">
        <v>843982893</v>
      </c>
      <c r="I30" s="212">
        <v>420859386</v>
      </c>
      <c r="J30" s="216" t="s">
        <v>747</v>
      </c>
      <c r="K30" s="401" t="s">
        <v>20</v>
      </c>
      <c r="L30" s="404">
        <v>474</v>
      </c>
      <c r="M30" s="404">
        <v>474</v>
      </c>
    </row>
    <row r="31" spans="1:13" s="84" customFormat="1" ht="50.25" customHeight="1" thickTop="1" thickBot="1" x14ac:dyDescent="0.25">
      <c r="A31" s="404" t="s">
        <v>804</v>
      </c>
      <c r="B31" s="404" t="s">
        <v>802</v>
      </c>
      <c r="C31" s="405" t="s">
        <v>53</v>
      </c>
      <c r="D31" s="404">
        <v>3</v>
      </c>
      <c r="E31" s="404">
        <v>30</v>
      </c>
      <c r="F31" s="404">
        <v>3</v>
      </c>
      <c r="G31" s="404">
        <v>520</v>
      </c>
      <c r="H31" s="212">
        <f>1466500000-297208090+1214281439+216774660</f>
        <v>2600348009</v>
      </c>
      <c r="I31" s="212">
        <f>567532298+13510510+6183933+216459317</f>
        <v>803686058</v>
      </c>
      <c r="J31" s="216" t="s">
        <v>748</v>
      </c>
      <c r="K31" s="401" t="s">
        <v>55</v>
      </c>
      <c r="L31" s="404">
        <v>20</v>
      </c>
      <c r="M31" s="404">
        <v>9</v>
      </c>
    </row>
    <row r="32" spans="1:13" s="84" customFormat="1" ht="50.25" customHeight="1" thickTop="1" thickBot="1" x14ac:dyDescent="0.25">
      <c r="A32" s="404" t="s">
        <v>804</v>
      </c>
      <c r="B32" s="404" t="s">
        <v>802</v>
      </c>
      <c r="C32" s="405" t="s">
        <v>53</v>
      </c>
      <c r="D32" s="404">
        <v>3</v>
      </c>
      <c r="E32" s="404">
        <v>30</v>
      </c>
      <c r="F32" s="404">
        <v>3</v>
      </c>
      <c r="G32" s="404">
        <v>520</v>
      </c>
      <c r="H32" s="212">
        <f>32205818+33230818*2+66180212*3</f>
        <v>297208090</v>
      </c>
      <c r="I32" s="212">
        <f>70765681+107304102</f>
        <v>178069783</v>
      </c>
      <c r="J32" s="216" t="s">
        <v>749</v>
      </c>
      <c r="K32" s="401" t="s">
        <v>25</v>
      </c>
      <c r="L32" s="404">
        <v>6</v>
      </c>
      <c r="M32" s="404">
        <v>6</v>
      </c>
    </row>
    <row r="33" spans="1:13" s="54" customFormat="1" ht="17.25" customHeight="1" thickTop="1" thickBot="1" x14ac:dyDescent="0.3">
      <c r="A33" s="129"/>
      <c r="B33" s="128"/>
      <c r="C33" s="130"/>
      <c r="D33" s="12"/>
      <c r="E33" s="12"/>
      <c r="F33" s="12"/>
      <c r="G33" s="12"/>
      <c r="H33" s="10"/>
      <c r="I33" s="10"/>
      <c r="J33" s="6"/>
      <c r="K33" s="12"/>
      <c r="L33" s="11"/>
      <c r="M33" s="11"/>
    </row>
    <row r="34" spans="1:13" s="127" customFormat="1" ht="30" customHeight="1" thickTop="1" thickBot="1" x14ac:dyDescent="0.25">
      <c r="A34" s="639" t="s">
        <v>0</v>
      </c>
      <c r="B34" s="639" t="s">
        <v>1</v>
      </c>
      <c r="C34" s="639" t="s">
        <v>2569</v>
      </c>
      <c r="D34" s="636" t="s">
        <v>1961</v>
      </c>
      <c r="E34" s="637"/>
      <c r="F34" s="637"/>
      <c r="G34" s="638"/>
      <c r="H34" s="636" t="s">
        <v>3</v>
      </c>
      <c r="I34" s="637"/>
      <c r="J34" s="636" t="s">
        <v>1962</v>
      </c>
      <c r="K34" s="637"/>
      <c r="L34" s="637"/>
      <c r="M34" s="638"/>
    </row>
    <row r="35" spans="1:13" s="127" customFormat="1" ht="34.5" customHeight="1" thickTop="1" thickBot="1" x14ac:dyDescent="0.25">
      <c r="A35" s="640"/>
      <c r="B35" s="640"/>
      <c r="C35" s="640"/>
      <c r="D35" s="209" t="s">
        <v>4</v>
      </c>
      <c r="E35" s="209" t="s">
        <v>5</v>
      </c>
      <c r="F35" s="209" t="s">
        <v>6</v>
      </c>
      <c r="G35" s="209" t="s">
        <v>7</v>
      </c>
      <c r="H35" s="209" t="s">
        <v>2</v>
      </c>
      <c r="I35" s="209" t="s">
        <v>3</v>
      </c>
      <c r="J35" s="209" t="s">
        <v>8</v>
      </c>
      <c r="K35" s="389" t="s">
        <v>9</v>
      </c>
      <c r="L35" s="389" t="s">
        <v>1963</v>
      </c>
      <c r="M35" s="389" t="s">
        <v>1964</v>
      </c>
    </row>
    <row r="36" spans="1:13" s="84" customFormat="1" ht="54" customHeight="1" thickTop="1" thickBot="1" x14ac:dyDescent="0.25">
      <c r="A36" s="404" t="s">
        <v>836</v>
      </c>
      <c r="B36" s="404" t="s">
        <v>802</v>
      </c>
      <c r="C36" s="405" t="s">
        <v>18</v>
      </c>
      <c r="D36" s="404">
        <v>3</v>
      </c>
      <c r="E36" s="404">
        <v>30</v>
      </c>
      <c r="F36" s="404">
        <v>3</v>
      </c>
      <c r="G36" s="404">
        <v>848</v>
      </c>
      <c r="H36" s="212">
        <v>322118640</v>
      </c>
      <c r="I36" s="212">
        <v>246337500</v>
      </c>
      <c r="J36" s="216" t="s">
        <v>750</v>
      </c>
      <c r="K36" s="401" t="s">
        <v>20</v>
      </c>
      <c r="L36" s="404">
        <v>285</v>
      </c>
      <c r="M36" s="404">
        <v>275</v>
      </c>
    </row>
    <row r="37" spans="1:13" s="84" customFormat="1" ht="51" customHeight="1" thickTop="1" thickBot="1" x14ac:dyDescent="0.25">
      <c r="A37" s="404" t="s">
        <v>836</v>
      </c>
      <c r="B37" s="404" t="s">
        <v>802</v>
      </c>
      <c r="C37" s="405" t="s">
        <v>53</v>
      </c>
      <c r="D37" s="404">
        <v>3</v>
      </c>
      <c r="E37" s="404">
        <v>30</v>
      </c>
      <c r="F37" s="404">
        <v>3</v>
      </c>
      <c r="G37" s="404">
        <v>520</v>
      </c>
      <c r="H37" s="212">
        <f>751610160-19500000-31000000-17360000</f>
        <v>683750160</v>
      </c>
      <c r="I37" s="212">
        <f>122870249+57621586+8561821</f>
        <v>189053656</v>
      </c>
      <c r="J37" s="216" t="s">
        <v>751</v>
      </c>
      <c r="K37" s="401" t="s">
        <v>55</v>
      </c>
      <c r="L37" s="404">
        <v>8</v>
      </c>
      <c r="M37" s="404">
        <v>3</v>
      </c>
    </row>
    <row r="38" spans="1:13" s="84" customFormat="1" ht="51" customHeight="1" thickTop="1" thickBot="1" x14ac:dyDescent="0.25">
      <c r="A38" s="404" t="s">
        <v>836</v>
      </c>
      <c r="B38" s="404" t="s">
        <v>802</v>
      </c>
      <c r="C38" s="405" t="s">
        <v>53</v>
      </c>
      <c r="D38" s="404">
        <v>3</v>
      </c>
      <c r="E38" s="404">
        <v>30</v>
      </c>
      <c r="F38" s="404">
        <v>3</v>
      </c>
      <c r="G38" s="404">
        <v>520</v>
      </c>
      <c r="H38" s="212">
        <v>31000000</v>
      </c>
      <c r="I38" s="212">
        <f>6214471+14598461+10187068</f>
        <v>31000000</v>
      </c>
      <c r="J38" s="216" t="s">
        <v>752</v>
      </c>
      <c r="K38" s="401" t="s">
        <v>25</v>
      </c>
      <c r="L38" s="404">
        <v>1</v>
      </c>
      <c r="M38" s="404">
        <v>1</v>
      </c>
    </row>
    <row r="39" spans="1:13" s="84" customFormat="1" ht="48" customHeight="1" thickTop="1" thickBot="1" x14ac:dyDescent="0.25">
      <c r="A39" s="404" t="s">
        <v>836</v>
      </c>
      <c r="B39" s="404" t="s">
        <v>802</v>
      </c>
      <c r="C39" s="405" t="s">
        <v>53</v>
      </c>
      <c r="D39" s="404">
        <v>3</v>
      </c>
      <c r="E39" s="404">
        <v>30</v>
      </c>
      <c r="F39" s="404">
        <v>3</v>
      </c>
      <c r="G39" s="404">
        <v>520</v>
      </c>
      <c r="H39" s="212">
        <v>19500000</v>
      </c>
      <c r="I39" s="212">
        <v>14900750</v>
      </c>
      <c r="J39" s="216" t="s">
        <v>2119</v>
      </c>
      <c r="K39" s="401" t="s">
        <v>25</v>
      </c>
      <c r="L39" s="404">
        <v>1</v>
      </c>
      <c r="M39" s="404">
        <v>1</v>
      </c>
    </row>
    <row r="40" spans="1:13" s="84" customFormat="1" ht="45.75" customHeight="1" thickTop="1" thickBot="1" x14ac:dyDescent="0.25">
      <c r="A40" s="404" t="s">
        <v>836</v>
      </c>
      <c r="B40" s="404" t="s">
        <v>802</v>
      </c>
      <c r="C40" s="405" t="s">
        <v>18</v>
      </c>
      <c r="D40" s="404">
        <v>3</v>
      </c>
      <c r="E40" s="404">
        <v>30</v>
      </c>
      <c r="F40" s="404">
        <v>3</v>
      </c>
      <c r="G40" s="404">
        <v>540</v>
      </c>
      <c r="H40" s="212">
        <v>9600000</v>
      </c>
      <c r="I40" s="212">
        <f>+H40</f>
        <v>9600000</v>
      </c>
      <c r="J40" s="216" t="s">
        <v>753</v>
      </c>
      <c r="K40" s="401" t="s">
        <v>261</v>
      </c>
      <c r="L40" s="404">
        <v>40</v>
      </c>
      <c r="M40" s="404">
        <v>40</v>
      </c>
    </row>
    <row r="41" spans="1:13" s="84" customFormat="1" ht="50.25" customHeight="1" thickTop="1" thickBot="1" x14ac:dyDescent="0.25">
      <c r="A41" s="404" t="s">
        <v>836</v>
      </c>
      <c r="B41" s="404" t="s">
        <v>802</v>
      </c>
      <c r="C41" s="405" t="s">
        <v>18</v>
      </c>
      <c r="D41" s="404">
        <v>3</v>
      </c>
      <c r="E41" s="404">
        <v>30</v>
      </c>
      <c r="F41" s="404">
        <v>3</v>
      </c>
      <c r="G41" s="404">
        <v>540</v>
      </c>
      <c r="H41" s="212">
        <f>1550000+2760000</f>
        <v>4310000</v>
      </c>
      <c r="I41" s="212">
        <f>+H41</f>
        <v>4310000</v>
      </c>
      <c r="J41" s="216" t="s">
        <v>2100</v>
      </c>
      <c r="K41" s="401" t="s">
        <v>193</v>
      </c>
      <c r="L41" s="404">
        <v>3</v>
      </c>
      <c r="M41" s="404">
        <v>3</v>
      </c>
    </row>
    <row r="42" spans="1:13" s="84" customFormat="1" ht="45.75" customHeight="1" thickTop="1" thickBot="1" x14ac:dyDescent="0.25">
      <c r="A42" s="404" t="s">
        <v>836</v>
      </c>
      <c r="B42" s="404" t="s">
        <v>802</v>
      </c>
      <c r="C42" s="405" t="s">
        <v>18</v>
      </c>
      <c r="D42" s="404">
        <v>3</v>
      </c>
      <c r="E42" s="404">
        <v>30</v>
      </c>
      <c r="F42" s="404">
        <v>3</v>
      </c>
      <c r="G42" s="404">
        <v>540</v>
      </c>
      <c r="H42" s="212">
        <v>3450000</v>
      </c>
      <c r="I42" s="212">
        <f>+H42</f>
        <v>3450000</v>
      </c>
      <c r="J42" s="216" t="s">
        <v>754</v>
      </c>
      <c r="K42" s="401" t="s">
        <v>66</v>
      </c>
      <c r="L42" s="404">
        <v>3</v>
      </c>
      <c r="M42" s="404">
        <v>3</v>
      </c>
    </row>
    <row r="43" spans="1:13" s="142" customFormat="1" ht="22.15" customHeight="1" thickTop="1" thickBot="1" x14ac:dyDescent="0.25">
      <c r="A43" s="137"/>
      <c r="B43" s="136"/>
      <c r="C43" s="138"/>
      <c r="D43" s="138"/>
      <c r="E43" s="138"/>
      <c r="F43" s="138"/>
      <c r="G43" s="138"/>
      <c r="H43" s="140"/>
      <c r="I43" s="140"/>
      <c r="J43" s="139"/>
      <c r="K43" s="139"/>
      <c r="L43" s="141"/>
      <c r="M43" s="141"/>
    </row>
    <row r="44" spans="1:13" s="127" customFormat="1" ht="30" customHeight="1" thickTop="1" thickBot="1" x14ac:dyDescent="0.25">
      <c r="A44" s="639" t="s">
        <v>0</v>
      </c>
      <c r="B44" s="639" t="s">
        <v>1</v>
      </c>
      <c r="C44" s="639" t="s">
        <v>2569</v>
      </c>
      <c r="D44" s="636" t="s">
        <v>1961</v>
      </c>
      <c r="E44" s="637"/>
      <c r="F44" s="637"/>
      <c r="G44" s="638"/>
      <c r="H44" s="636" t="s">
        <v>3</v>
      </c>
      <c r="I44" s="637"/>
      <c r="J44" s="636" t="s">
        <v>1962</v>
      </c>
      <c r="K44" s="637"/>
      <c r="L44" s="637"/>
      <c r="M44" s="638"/>
    </row>
    <row r="45" spans="1:13" s="127" customFormat="1" ht="34.5" customHeight="1" thickTop="1" thickBot="1" x14ac:dyDescent="0.25">
      <c r="A45" s="640"/>
      <c r="B45" s="640"/>
      <c r="C45" s="640"/>
      <c r="D45" s="209" t="s">
        <v>4</v>
      </c>
      <c r="E45" s="209" t="s">
        <v>5</v>
      </c>
      <c r="F45" s="209" t="s">
        <v>6</v>
      </c>
      <c r="G45" s="209" t="s">
        <v>7</v>
      </c>
      <c r="H45" s="209" t="s">
        <v>2</v>
      </c>
      <c r="I45" s="209" t="s">
        <v>3</v>
      </c>
      <c r="J45" s="209" t="s">
        <v>8</v>
      </c>
      <c r="K45" s="389" t="s">
        <v>9</v>
      </c>
      <c r="L45" s="389" t="s">
        <v>1963</v>
      </c>
      <c r="M45" s="389" t="s">
        <v>1964</v>
      </c>
    </row>
    <row r="46" spans="1:13" s="84" customFormat="1" ht="45" customHeight="1" thickTop="1" thickBot="1" x14ac:dyDescent="0.25">
      <c r="A46" s="404" t="s">
        <v>837</v>
      </c>
      <c r="B46" s="404" t="s">
        <v>802</v>
      </c>
      <c r="C46" s="405" t="s">
        <v>18</v>
      </c>
      <c r="D46" s="404">
        <v>2</v>
      </c>
      <c r="E46" s="404">
        <v>30</v>
      </c>
      <c r="F46" s="404">
        <v>3</v>
      </c>
      <c r="G46" s="404">
        <v>848</v>
      </c>
      <c r="H46" s="212">
        <v>373510649</v>
      </c>
      <c r="I46" s="212">
        <v>156978000</v>
      </c>
      <c r="J46" s="216" t="s">
        <v>755</v>
      </c>
      <c r="K46" s="401" t="s">
        <v>20</v>
      </c>
      <c r="L46" s="404">
        <v>153</v>
      </c>
      <c r="M46" s="404">
        <v>153</v>
      </c>
    </row>
    <row r="47" spans="1:13" s="84" customFormat="1" ht="51" customHeight="1" thickTop="1" thickBot="1" x14ac:dyDescent="0.25">
      <c r="A47" s="404" t="s">
        <v>837</v>
      </c>
      <c r="B47" s="404" t="s">
        <v>802</v>
      </c>
      <c r="C47" s="405" t="s">
        <v>53</v>
      </c>
      <c r="D47" s="404">
        <v>2</v>
      </c>
      <c r="E47" s="404">
        <v>30</v>
      </c>
      <c r="F47" s="404">
        <v>3</v>
      </c>
      <c r="G47" s="404">
        <v>520</v>
      </c>
      <c r="H47" s="212">
        <f>150000000+50000000</f>
        <v>200000000</v>
      </c>
      <c r="I47" s="212">
        <f>134529000+50000000</f>
        <v>184529000</v>
      </c>
      <c r="J47" s="216" t="s">
        <v>756</v>
      </c>
      <c r="K47" s="401" t="s">
        <v>25</v>
      </c>
      <c r="L47" s="404">
        <v>2</v>
      </c>
      <c r="M47" s="404">
        <v>2</v>
      </c>
    </row>
    <row r="48" spans="1:13" s="84" customFormat="1" ht="49.5" customHeight="1" thickTop="1" thickBot="1" x14ac:dyDescent="0.25">
      <c r="A48" s="404" t="s">
        <v>837</v>
      </c>
      <c r="B48" s="404" t="s">
        <v>802</v>
      </c>
      <c r="C48" s="405" t="s">
        <v>53</v>
      </c>
      <c r="D48" s="404">
        <v>2</v>
      </c>
      <c r="E48" s="404">
        <v>30</v>
      </c>
      <c r="F48" s="404">
        <v>3</v>
      </c>
      <c r="G48" s="404">
        <v>520</v>
      </c>
      <c r="H48" s="212">
        <v>200000000</v>
      </c>
      <c r="I48" s="212">
        <v>179118402</v>
      </c>
      <c r="J48" s="216" t="s">
        <v>757</v>
      </c>
      <c r="K48" s="401" t="s">
        <v>13</v>
      </c>
      <c r="L48" s="404">
        <v>1</v>
      </c>
      <c r="M48" s="404">
        <v>0</v>
      </c>
    </row>
    <row r="49" spans="1:13" s="84" customFormat="1" ht="49.5" customHeight="1" thickTop="1" thickBot="1" x14ac:dyDescent="0.25">
      <c r="A49" s="404" t="s">
        <v>837</v>
      </c>
      <c r="B49" s="404" t="s">
        <v>802</v>
      </c>
      <c r="C49" s="404" t="s">
        <v>53</v>
      </c>
      <c r="D49" s="404">
        <v>2</v>
      </c>
      <c r="E49" s="404">
        <v>30</v>
      </c>
      <c r="F49" s="404">
        <v>3</v>
      </c>
      <c r="G49" s="404">
        <v>520</v>
      </c>
      <c r="H49" s="212">
        <v>120000000</v>
      </c>
      <c r="I49" s="212">
        <v>0</v>
      </c>
      <c r="J49" s="216" t="s">
        <v>758</v>
      </c>
      <c r="K49" s="401" t="s">
        <v>13</v>
      </c>
      <c r="L49" s="404">
        <v>1</v>
      </c>
      <c r="M49" s="404">
        <v>0</v>
      </c>
    </row>
    <row r="50" spans="1:13" s="84" customFormat="1" ht="49.5" customHeight="1" thickTop="1" thickBot="1" x14ac:dyDescent="0.25">
      <c r="A50" s="404" t="s">
        <v>837</v>
      </c>
      <c r="B50" s="404" t="s">
        <v>802</v>
      </c>
      <c r="C50" s="404" t="s">
        <v>53</v>
      </c>
      <c r="D50" s="404">
        <v>2</v>
      </c>
      <c r="E50" s="404">
        <v>30</v>
      </c>
      <c r="F50" s="404">
        <v>3</v>
      </c>
      <c r="G50" s="404">
        <v>520</v>
      </c>
      <c r="H50" s="212">
        <v>130000000</v>
      </c>
      <c r="I50" s="212">
        <v>0</v>
      </c>
      <c r="J50" s="216" t="s">
        <v>759</v>
      </c>
      <c r="K50" s="401" t="s">
        <v>495</v>
      </c>
      <c r="L50" s="404">
        <v>1</v>
      </c>
      <c r="M50" s="404">
        <v>0</v>
      </c>
    </row>
    <row r="51" spans="1:13" s="84" customFormat="1" ht="49.5" customHeight="1" thickTop="1" thickBot="1" x14ac:dyDescent="0.25">
      <c r="A51" s="404" t="s">
        <v>837</v>
      </c>
      <c r="B51" s="404" t="s">
        <v>802</v>
      </c>
      <c r="C51" s="404" t="s">
        <v>53</v>
      </c>
      <c r="D51" s="404">
        <v>2</v>
      </c>
      <c r="E51" s="404">
        <v>30</v>
      </c>
      <c r="F51" s="404">
        <v>3</v>
      </c>
      <c r="G51" s="404">
        <v>520</v>
      </c>
      <c r="H51" s="212">
        <f>271524845-30000000-50000000</f>
        <v>191524845</v>
      </c>
      <c r="I51" s="212">
        <v>0</v>
      </c>
      <c r="J51" s="216" t="s">
        <v>760</v>
      </c>
      <c r="K51" s="401" t="s">
        <v>55</v>
      </c>
      <c r="L51" s="404">
        <v>3</v>
      </c>
      <c r="M51" s="404">
        <v>0</v>
      </c>
    </row>
    <row r="52" spans="1:13" s="84" customFormat="1" ht="49.5" customHeight="1" thickTop="1" thickBot="1" x14ac:dyDescent="0.25">
      <c r="A52" s="404" t="s">
        <v>837</v>
      </c>
      <c r="B52" s="404" t="s">
        <v>802</v>
      </c>
      <c r="C52" s="404" t="s">
        <v>53</v>
      </c>
      <c r="D52" s="404">
        <v>2</v>
      </c>
      <c r="E52" s="404">
        <v>30</v>
      </c>
      <c r="F52" s="404">
        <v>3</v>
      </c>
      <c r="G52" s="404">
        <v>530</v>
      </c>
      <c r="H52" s="212">
        <v>30000000</v>
      </c>
      <c r="I52" s="212">
        <v>29973000</v>
      </c>
      <c r="J52" s="216" t="s">
        <v>761</v>
      </c>
      <c r="K52" s="401" t="s">
        <v>762</v>
      </c>
      <c r="L52" s="404">
        <v>1</v>
      </c>
      <c r="M52" s="404">
        <v>1</v>
      </c>
    </row>
    <row r="53" spans="1:13" s="54" customFormat="1" ht="22.9" customHeight="1" thickTop="1" thickBot="1" x14ac:dyDescent="0.3">
      <c r="A53" s="129"/>
      <c r="B53" s="128"/>
      <c r="C53" s="130"/>
      <c r="D53" s="12"/>
      <c r="E53" s="12"/>
      <c r="F53" s="12"/>
      <c r="G53" s="12"/>
      <c r="H53" s="10"/>
      <c r="I53" s="10"/>
      <c r="J53" s="143"/>
      <c r="K53" s="5"/>
      <c r="L53" s="144"/>
      <c r="M53" s="144"/>
    </row>
    <row r="54" spans="1:13" s="127" customFormat="1" ht="30" customHeight="1" thickTop="1" thickBot="1" x14ac:dyDescent="0.25">
      <c r="A54" s="639" t="s">
        <v>0</v>
      </c>
      <c r="B54" s="639" t="s">
        <v>1</v>
      </c>
      <c r="C54" s="639" t="s">
        <v>2569</v>
      </c>
      <c r="D54" s="636" t="s">
        <v>1961</v>
      </c>
      <c r="E54" s="637"/>
      <c r="F54" s="637"/>
      <c r="G54" s="638"/>
      <c r="H54" s="636" t="s">
        <v>3</v>
      </c>
      <c r="I54" s="637"/>
      <c r="J54" s="636" t="s">
        <v>1962</v>
      </c>
      <c r="K54" s="637"/>
      <c r="L54" s="637"/>
      <c r="M54" s="638"/>
    </row>
    <row r="55" spans="1:13" s="127" customFormat="1" ht="35.25" customHeight="1" thickTop="1" thickBot="1" x14ac:dyDescent="0.25">
      <c r="A55" s="640"/>
      <c r="B55" s="640"/>
      <c r="C55" s="640"/>
      <c r="D55" s="209" t="s">
        <v>4</v>
      </c>
      <c r="E55" s="209" t="s">
        <v>5</v>
      </c>
      <c r="F55" s="209" t="s">
        <v>6</v>
      </c>
      <c r="G55" s="209" t="s">
        <v>7</v>
      </c>
      <c r="H55" s="209" t="s">
        <v>2</v>
      </c>
      <c r="I55" s="209" t="s">
        <v>3</v>
      </c>
      <c r="J55" s="209" t="s">
        <v>8</v>
      </c>
      <c r="K55" s="209" t="s">
        <v>9</v>
      </c>
      <c r="L55" s="209" t="s">
        <v>1963</v>
      </c>
      <c r="M55" s="209" t="s">
        <v>1964</v>
      </c>
    </row>
    <row r="56" spans="1:13" s="84" customFormat="1" ht="34.5" customHeight="1" thickTop="1" thickBot="1" x14ac:dyDescent="0.25">
      <c r="A56" s="404" t="s">
        <v>2539</v>
      </c>
      <c r="B56" s="404" t="s">
        <v>802</v>
      </c>
      <c r="C56" s="703" t="s">
        <v>18</v>
      </c>
      <c r="D56" s="698">
        <v>3</v>
      </c>
      <c r="E56" s="698">
        <v>30</v>
      </c>
      <c r="F56" s="698">
        <v>3</v>
      </c>
      <c r="G56" s="698">
        <v>848</v>
      </c>
      <c r="H56" s="641">
        <v>693162598</v>
      </c>
      <c r="I56" s="699">
        <v>308267520</v>
      </c>
      <c r="J56" s="697" t="s">
        <v>763</v>
      </c>
      <c r="K56" s="400" t="s">
        <v>20</v>
      </c>
      <c r="L56" s="400">
        <v>246</v>
      </c>
      <c r="M56" s="400">
        <v>109</v>
      </c>
    </row>
    <row r="57" spans="1:13" s="84" customFormat="1" ht="34.5" customHeight="1" thickTop="1" thickBot="1" x14ac:dyDescent="0.25">
      <c r="A57" s="627" t="s">
        <v>2539</v>
      </c>
      <c r="B57" s="404" t="s">
        <v>802</v>
      </c>
      <c r="C57" s="704"/>
      <c r="D57" s="659"/>
      <c r="E57" s="659"/>
      <c r="F57" s="659"/>
      <c r="G57" s="659"/>
      <c r="H57" s="642"/>
      <c r="I57" s="700"/>
      <c r="J57" s="658"/>
      <c r="K57" s="398" t="s">
        <v>75</v>
      </c>
      <c r="L57" s="398">
        <v>25500</v>
      </c>
      <c r="M57" s="398">
        <v>11300</v>
      </c>
    </row>
    <row r="58" spans="1:13" s="84" customFormat="1" ht="33" customHeight="1" thickTop="1" thickBot="1" x14ac:dyDescent="0.25">
      <c r="A58" s="627" t="s">
        <v>2539</v>
      </c>
      <c r="B58" s="404" t="s">
        <v>802</v>
      </c>
      <c r="C58" s="703" t="s">
        <v>53</v>
      </c>
      <c r="D58" s="425">
        <v>3</v>
      </c>
      <c r="E58" s="404">
        <v>30</v>
      </c>
      <c r="F58" s="404">
        <v>3</v>
      </c>
      <c r="G58" s="404">
        <v>520</v>
      </c>
      <c r="H58" s="212">
        <v>320000000</v>
      </c>
      <c r="I58" s="212">
        <v>240000000</v>
      </c>
      <c r="J58" s="216" t="s">
        <v>764</v>
      </c>
      <c r="K58" s="404" t="s">
        <v>103</v>
      </c>
      <c r="L58" s="404">
        <v>3</v>
      </c>
      <c r="M58" s="404">
        <v>2</v>
      </c>
    </row>
    <row r="59" spans="1:13" s="84" customFormat="1" ht="42" customHeight="1" thickTop="1" thickBot="1" x14ac:dyDescent="0.25">
      <c r="A59" s="627" t="s">
        <v>2539</v>
      </c>
      <c r="B59" s="404" t="s">
        <v>802</v>
      </c>
      <c r="C59" s="702"/>
      <c r="D59" s="425">
        <v>3</v>
      </c>
      <c r="E59" s="404">
        <v>30</v>
      </c>
      <c r="F59" s="404">
        <v>3</v>
      </c>
      <c r="G59" s="404">
        <v>520</v>
      </c>
      <c r="H59" s="212">
        <f>518383299+139518419+443477678</f>
        <v>1101379396</v>
      </c>
      <c r="I59" s="212">
        <v>300913602</v>
      </c>
      <c r="J59" s="216" t="s">
        <v>765</v>
      </c>
      <c r="K59" s="404" t="s">
        <v>55</v>
      </c>
      <c r="L59" s="404">
        <v>8</v>
      </c>
      <c r="M59" s="404">
        <v>2</v>
      </c>
    </row>
    <row r="60" spans="1:13" s="84" customFormat="1" ht="42" customHeight="1" thickTop="1" thickBot="1" x14ac:dyDescent="0.25">
      <c r="A60" s="627" t="s">
        <v>2539</v>
      </c>
      <c r="B60" s="404" t="s">
        <v>802</v>
      </c>
      <c r="C60" s="701" t="s">
        <v>105</v>
      </c>
      <c r="D60" s="425">
        <v>3</v>
      </c>
      <c r="E60" s="404">
        <v>30</v>
      </c>
      <c r="F60" s="404">
        <v>3</v>
      </c>
      <c r="G60" s="404">
        <v>530</v>
      </c>
      <c r="H60" s="212">
        <v>96000000</v>
      </c>
      <c r="I60" s="404">
        <v>0</v>
      </c>
      <c r="J60" s="216" t="s">
        <v>766</v>
      </c>
      <c r="K60" s="404" t="s">
        <v>614</v>
      </c>
      <c r="L60" s="404">
        <v>15</v>
      </c>
      <c r="M60" s="404">
        <v>0</v>
      </c>
    </row>
    <row r="61" spans="1:13" s="84" customFormat="1" ht="39.75" customHeight="1" thickTop="1" thickBot="1" x14ac:dyDescent="0.25">
      <c r="A61" s="627" t="s">
        <v>2539</v>
      </c>
      <c r="B61" s="404" t="s">
        <v>802</v>
      </c>
      <c r="C61" s="702"/>
      <c r="D61" s="425">
        <v>3</v>
      </c>
      <c r="E61" s="404">
        <v>30</v>
      </c>
      <c r="F61" s="404">
        <v>3</v>
      </c>
      <c r="G61" s="404">
        <v>530</v>
      </c>
      <c r="H61" s="212">
        <v>100000000</v>
      </c>
      <c r="I61" s="404">
        <v>0</v>
      </c>
      <c r="J61" s="216" t="s">
        <v>767</v>
      </c>
      <c r="K61" s="404" t="s">
        <v>180</v>
      </c>
      <c r="L61" s="404">
        <v>40</v>
      </c>
      <c r="M61" s="404">
        <v>0</v>
      </c>
    </row>
    <row r="62" spans="1:13" s="54" customFormat="1" ht="22.15" customHeight="1" thickTop="1" thickBot="1" x14ac:dyDescent="0.3">
      <c r="A62" s="129"/>
      <c r="B62" s="128"/>
      <c r="C62" s="135"/>
      <c r="D62" s="145"/>
      <c r="E62" s="145"/>
      <c r="F62" s="145"/>
      <c r="G62" s="145"/>
      <c r="H62" s="146"/>
      <c r="I62" s="146"/>
      <c r="J62" s="147"/>
      <c r="K62" s="145"/>
      <c r="L62" s="145"/>
      <c r="M62" s="145"/>
    </row>
    <row r="63" spans="1:13" s="127" customFormat="1" ht="30" customHeight="1" thickTop="1" thickBot="1" x14ac:dyDescent="0.25">
      <c r="A63" s="639" t="s">
        <v>0</v>
      </c>
      <c r="B63" s="639" t="s">
        <v>1</v>
      </c>
      <c r="C63" s="639" t="s">
        <v>2569</v>
      </c>
      <c r="D63" s="636" t="s">
        <v>1961</v>
      </c>
      <c r="E63" s="637"/>
      <c r="F63" s="637"/>
      <c r="G63" s="638"/>
      <c r="H63" s="636" t="s">
        <v>3</v>
      </c>
      <c r="I63" s="637"/>
      <c r="J63" s="636" t="s">
        <v>1962</v>
      </c>
      <c r="K63" s="637"/>
      <c r="L63" s="637"/>
      <c r="M63" s="638"/>
    </row>
    <row r="64" spans="1:13" s="127" customFormat="1" ht="34.5" customHeight="1" thickTop="1" thickBot="1" x14ac:dyDescent="0.25">
      <c r="A64" s="661"/>
      <c r="B64" s="661"/>
      <c r="C64" s="661"/>
      <c r="D64" s="389" t="s">
        <v>4</v>
      </c>
      <c r="E64" s="389" t="s">
        <v>5</v>
      </c>
      <c r="F64" s="389" t="s">
        <v>6</v>
      </c>
      <c r="G64" s="389" t="s">
        <v>7</v>
      </c>
      <c r="H64" s="389" t="s">
        <v>2</v>
      </c>
      <c r="I64" s="389" t="s">
        <v>3</v>
      </c>
      <c r="J64" s="389" t="s">
        <v>8</v>
      </c>
      <c r="K64" s="389" t="s">
        <v>9</v>
      </c>
      <c r="L64" s="389" t="s">
        <v>1963</v>
      </c>
      <c r="M64" s="389" t="s">
        <v>1964</v>
      </c>
    </row>
    <row r="65" spans="1:13" s="84" customFormat="1" ht="33.75" customHeight="1" thickTop="1" thickBot="1" x14ac:dyDescent="0.25">
      <c r="A65" s="399" t="s">
        <v>838</v>
      </c>
      <c r="B65" s="307" t="s">
        <v>802</v>
      </c>
      <c r="C65" s="654" t="s">
        <v>18</v>
      </c>
      <c r="D65" s="659">
        <v>3</v>
      </c>
      <c r="E65" s="659">
        <v>30</v>
      </c>
      <c r="F65" s="659">
        <v>3</v>
      </c>
      <c r="G65" s="659">
        <v>848</v>
      </c>
      <c r="H65" s="657">
        <v>527702974</v>
      </c>
      <c r="I65" s="657">
        <v>354293480</v>
      </c>
      <c r="J65" s="693" t="s">
        <v>768</v>
      </c>
      <c r="K65" s="398" t="s">
        <v>20</v>
      </c>
      <c r="L65" s="398">
        <v>321</v>
      </c>
      <c r="M65" s="398">
        <v>321</v>
      </c>
    </row>
    <row r="66" spans="1:13" s="84" customFormat="1" ht="33.75" customHeight="1" thickTop="1" thickBot="1" x14ac:dyDescent="0.25">
      <c r="A66" s="399" t="s">
        <v>838</v>
      </c>
      <c r="B66" s="307" t="s">
        <v>802</v>
      </c>
      <c r="C66" s="654"/>
      <c r="D66" s="659"/>
      <c r="E66" s="659"/>
      <c r="F66" s="659"/>
      <c r="G66" s="659"/>
      <c r="H66" s="657"/>
      <c r="I66" s="657"/>
      <c r="J66" s="693"/>
      <c r="K66" s="398" t="s">
        <v>75</v>
      </c>
      <c r="L66" s="398">
        <v>57305</v>
      </c>
      <c r="M66" s="398">
        <v>41178</v>
      </c>
    </row>
    <row r="67" spans="1:13" s="84" customFormat="1" ht="50.25" customHeight="1" thickTop="1" thickBot="1" x14ac:dyDescent="0.25">
      <c r="A67" s="395" t="s">
        <v>838</v>
      </c>
      <c r="B67" s="395" t="s">
        <v>802</v>
      </c>
      <c r="C67" s="393" t="s">
        <v>53</v>
      </c>
      <c r="D67" s="395">
        <v>3</v>
      </c>
      <c r="E67" s="395">
        <v>30</v>
      </c>
      <c r="F67" s="395">
        <v>3</v>
      </c>
      <c r="G67" s="395">
        <v>520</v>
      </c>
      <c r="H67" s="212">
        <v>148000000</v>
      </c>
      <c r="I67" s="404">
        <v>89554710</v>
      </c>
      <c r="J67" s="280" t="s">
        <v>769</v>
      </c>
      <c r="K67" s="403" t="s">
        <v>55</v>
      </c>
      <c r="L67" s="395">
        <v>2</v>
      </c>
      <c r="M67" s="395">
        <v>1</v>
      </c>
    </row>
    <row r="68" spans="1:13" s="84" customFormat="1" ht="50.25" customHeight="1" thickTop="1" thickBot="1" x14ac:dyDescent="0.25">
      <c r="A68" s="404" t="s">
        <v>838</v>
      </c>
      <c r="B68" s="404" t="s">
        <v>802</v>
      </c>
      <c r="C68" s="405" t="s">
        <v>53</v>
      </c>
      <c r="D68" s="404">
        <v>3</v>
      </c>
      <c r="E68" s="404">
        <v>30</v>
      </c>
      <c r="F68" s="404">
        <v>3</v>
      </c>
      <c r="G68" s="404">
        <v>520</v>
      </c>
      <c r="H68" s="212">
        <v>148000000</v>
      </c>
      <c r="I68" s="404">
        <v>97882300</v>
      </c>
      <c r="J68" s="216" t="s">
        <v>770</v>
      </c>
      <c r="K68" s="401" t="s">
        <v>55</v>
      </c>
      <c r="L68" s="404">
        <v>2</v>
      </c>
      <c r="M68" s="404">
        <v>1</v>
      </c>
    </row>
    <row r="69" spans="1:13" s="84" customFormat="1" ht="50.25" customHeight="1" thickTop="1" thickBot="1" x14ac:dyDescent="0.25">
      <c r="A69" s="404" t="s">
        <v>838</v>
      </c>
      <c r="B69" s="404" t="s">
        <v>802</v>
      </c>
      <c r="C69" s="405" t="s">
        <v>53</v>
      </c>
      <c r="D69" s="404">
        <v>3</v>
      </c>
      <c r="E69" s="404">
        <v>30</v>
      </c>
      <c r="F69" s="404">
        <v>3</v>
      </c>
      <c r="G69" s="404">
        <v>520</v>
      </c>
      <c r="H69" s="212">
        <v>225000000</v>
      </c>
      <c r="I69" s="404">
        <v>170126150</v>
      </c>
      <c r="J69" s="216" t="s">
        <v>771</v>
      </c>
      <c r="K69" s="401" t="s">
        <v>55</v>
      </c>
      <c r="L69" s="404">
        <v>3</v>
      </c>
      <c r="M69" s="404">
        <v>2</v>
      </c>
    </row>
    <row r="70" spans="1:13" s="84" customFormat="1" ht="50.25" customHeight="1" thickTop="1" thickBot="1" x14ac:dyDescent="0.25">
      <c r="A70" s="404" t="s">
        <v>838</v>
      </c>
      <c r="B70" s="404" t="s">
        <v>802</v>
      </c>
      <c r="C70" s="405" t="s">
        <v>53</v>
      </c>
      <c r="D70" s="404">
        <v>3</v>
      </c>
      <c r="E70" s="404">
        <v>30</v>
      </c>
      <c r="F70" s="404">
        <v>3</v>
      </c>
      <c r="G70" s="404">
        <v>520</v>
      </c>
      <c r="H70" s="212">
        <v>135000000</v>
      </c>
      <c r="I70" s="404">
        <v>85572601</v>
      </c>
      <c r="J70" s="216" t="s">
        <v>772</v>
      </c>
      <c r="K70" s="401" t="s">
        <v>13</v>
      </c>
      <c r="L70" s="404">
        <v>2</v>
      </c>
      <c r="M70" s="404">
        <v>1</v>
      </c>
    </row>
    <row r="71" spans="1:13" s="84" customFormat="1" ht="50.25" customHeight="1" thickTop="1" thickBot="1" x14ac:dyDescent="0.25">
      <c r="A71" s="404" t="s">
        <v>838</v>
      </c>
      <c r="B71" s="404" t="s">
        <v>802</v>
      </c>
      <c r="C71" s="405" t="s">
        <v>53</v>
      </c>
      <c r="D71" s="404">
        <v>3</v>
      </c>
      <c r="E71" s="404">
        <v>30</v>
      </c>
      <c r="F71" s="404">
        <v>3</v>
      </c>
      <c r="G71" s="404">
        <v>520</v>
      </c>
      <c r="H71" s="212">
        <v>74000000</v>
      </c>
      <c r="I71" s="404">
        <v>54347350</v>
      </c>
      <c r="J71" s="216" t="s">
        <v>773</v>
      </c>
      <c r="K71" s="401" t="s">
        <v>55</v>
      </c>
      <c r="L71" s="404">
        <v>1</v>
      </c>
      <c r="M71" s="404">
        <v>0</v>
      </c>
    </row>
    <row r="72" spans="1:13" s="84" customFormat="1" ht="50.25" customHeight="1" thickTop="1" thickBot="1" x14ac:dyDescent="0.25">
      <c r="A72" s="404" t="s">
        <v>838</v>
      </c>
      <c r="B72" s="404" t="s">
        <v>802</v>
      </c>
      <c r="C72" s="405" t="s">
        <v>53</v>
      </c>
      <c r="D72" s="404">
        <v>3</v>
      </c>
      <c r="E72" s="404">
        <v>30</v>
      </c>
      <c r="F72" s="404">
        <v>3</v>
      </c>
      <c r="G72" s="404">
        <v>520</v>
      </c>
      <c r="H72" s="212">
        <v>39504956</v>
      </c>
      <c r="I72" s="404">
        <v>19693700</v>
      </c>
      <c r="J72" s="216" t="s">
        <v>774</v>
      </c>
      <c r="K72" s="401" t="s">
        <v>103</v>
      </c>
      <c r="L72" s="404">
        <v>1</v>
      </c>
      <c r="M72" s="404">
        <v>0</v>
      </c>
    </row>
    <row r="73" spans="1:13" s="84" customFormat="1" ht="50.25" customHeight="1" thickTop="1" thickBot="1" x14ac:dyDescent="0.25">
      <c r="A73" s="404" t="s">
        <v>838</v>
      </c>
      <c r="B73" s="404" t="s">
        <v>802</v>
      </c>
      <c r="C73" s="405" t="s">
        <v>53</v>
      </c>
      <c r="D73" s="404">
        <v>3</v>
      </c>
      <c r="E73" s="404">
        <v>30</v>
      </c>
      <c r="F73" s="404">
        <v>3</v>
      </c>
      <c r="G73" s="404">
        <v>520</v>
      </c>
      <c r="H73" s="212">
        <v>45605220</v>
      </c>
      <c r="I73" s="404">
        <v>45605220</v>
      </c>
      <c r="J73" s="216" t="s">
        <v>775</v>
      </c>
      <c r="K73" s="401" t="s">
        <v>103</v>
      </c>
      <c r="L73" s="404">
        <v>1</v>
      </c>
      <c r="M73" s="404">
        <v>1</v>
      </c>
    </row>
    <row r="74" spans="1:13" s="84" customFormat="1" ht="50.25" customHeight="1" thickTop="1" thickBot="1" x14ac:dyDescent="0.25">
      <c r="A74" s="404" t="s">
        <v>838</v>
      </c>
      <c r="B74" s="404" t="s">
        <v>802</v>
      </c>
      <c r="C74" s="405" t="s">
        <v>53</v>
      </c>
      <c r="D74" s="404">
        <v>3</v>
      </c>
      <c r="E74" s="404">
        <v>30</v>
      </c>
      <c r="F74" s="404">
        <v>3</v>
      </c>
      <c r="G74" s="404">
        <v>520</v>
      </c>
      <c r="H74" s="212">
        <v>44615932</v>
      </c>
      <c r="I74" s="404">
        <v>44615932</v>
      </c>
      <c r="J74" s="216" t="s">
        <v>776</v>
      </c>
      <c r="K74" s="401" t="s">
        <v>777</v>
      </c>
      <c r="L74" s="404">
        <v>1</v>
      </c>
      <c r="M74" s="404">
        <v>1</v>
      </c>
    </row>
    <row r="75" spans="1:13" s="84" customFormat="1" ht="47.25" customHeight="1" thickTop="1" thickBot="1" x14ac:dyDescent="0.25">
      <c r="A75" s="404" t="s">
        <v>838</v>
      </c>
      <c r="B75" s="404" t="s">
        <v>802</v>
      </c>
      <c r="C75" s="405" t="s">
        <v>440</v>
      </c>
      <c r="D75" s="404">
        <v>3</v>
      </c>
      <c r="E75" s="404">
        <v>30</v>
      </c>
      <c r="F75" s="404">
        <v>3</v>
      </c>
      <c r="G75" s="404">
        <v>520</v>
      </c>
      <c r="H75" s="212">
        <v>139923924</v>
      </c>
      <c r="I75" s="404">
        <v>84959000</v>
      </c>
      <c r="J75" s="216" t="s">
        <v>778</v>
      </c>
      <c r="K75" s="401" t="s">
        <v>276</v>
      </c>
      <c r="L75" s="404">
        <v>2</v>
      </c>
      <c r="M75" s="404">
        <v>1</v>
      </c>
    </row>
    <row r="76" spans="1:13" s="84" customFormat="1" ht="47.25" customHeight="1" thickTop="1" thickBot="1" x14ac:dyDescent="0.25">
      <c r="A76" s="404" t="s">
        <v>838</v>
      </c>
      <c r="B76" s="404" t="s">
        <v>802</v>
      </c>
      <c r="C76" s="405" t="s">
        <v>440</v>
      </c>
      <c r="D76" s="404">
        <v>3</v>
      </c>
      <c r="E76" s="404">
        <v>30</v>
      </c>
      <c r="F76" s="404">
        <v>3</v>
      </c>
      <c r="G76" s="404">
        <v>520</v>
      </c>
      <c r="H76" s="212">
        <v>159656907</v>
      </c>
      <c r="I76" s="404">
        <v>132819852</v>
      </c>
      <c r="J76" s="216" t="s">
        <v>779</v>
      </c>
      <c r="K76" s="401" t="s">
        <v>276</v>
      </c>
      <c r="L76" s="404">
        <v>1</v>
      </c>
      <c r="M76" s="404">
        <v>0</v>
      </c>
    </row>
    <row r="77" spans="1:13" s="84" customFormat="1" ht="47.25" customHeight="1" thickTop="1" thickBot="1" x14ac:dyDescent="0.25">
      <c r="A77" s="404" t="s">
        <v>838</v>
      </c>
      <c r="B77" s="404" t="s">
        <v>802</v>
      </c>
      <c r="C77" s="405" t="s">
        <v>42</v>
      </c>
      <c r="D77" s="404">
        <v>3</v>
      </c>
      <c r="E77" s="404">
        <v>30</v>
      </c>
      <c r="F77" s="404">
        <v>3</v>
      </c>
      <c r="G77" s="404">
        <v>540</v>
      </c>
      <c r="H77" s="212">
        <v>72000000</v>
      </c>
      <c r="I77" s="404">
        <v>0</v>
      </c>
      <c r="J77" s="216" t="s">
        <v>780</v>
      </c>
      <c r="K77" s="401" t="s">
        <v>180</v>
      </c>
      <c r="L77" s="404">
        <v>20</v>
      </c>
      <c r="M77" s="404">
        <v>0</v>
      </c>
    </row>
    <row r="78" spans="1:13" s="142" customFormat="1" ht="22.15" customHeight="1" thickTop="1" thickBot="1" x14ac:dyDescent="0.25">
      <c r="A78" s="137"/>
      <c r="B78" s="23"/>
      <c r="C78" s="218"/>
      <c r="D78" s="24"/>
      <c r="E78" s="24"/>
      <c r="F78" s="24"/>
      <c r="G78" s="24"/>
      <c r="H78" s="28"/>
      <c r="I78" s="28"/>
      <c r="J78" s="24"/>
      <c r="K78" s="24"/>
      <c r="L78" s="24"/>
      <c r="M78" s="24"/>
    </row>
    <row r="79" spans="1:13" s="127" customFormat="1" ht="30" customHeight="1" thickTop="1" thickBot="1" x14ac:dyDescent="0.25">
      <c r="A79" s="639" t="s">
        <v>0</v>
      </c>
      <c r="B79" s="639" t="s">
        <v>1</v>
      </c>
      <c r="C79" s="639" t="s">
        <v>2569</v>
      </c>
      <c r="D79" s="636" t="s">
        <v>1961</v>
      </c>
      <c r="E79" s="637"/>
      <c r="F79" s="637"/>
      <c r="G79" s="638"/>
      <c r="H79" s="636" t="s">
        <v>3</v>
      </c>
      <c r="I79" s="637"/>
      <c r="J79" s="636" t="s">
        <v>1962</v>
      </c>
      <c r="K79" s="637"/>
      <c r="L79" s="637"/>
      <c r="M79" s="638"/>
    </row>
    <row r="80" spans="1:13" s="127" customFormat="1" ht="34.5" customHeight="1" thickTop="1" thickBot="1" x14ac:dyDescent="0.25">
      <c r="A80" s="640"/>
      <c r="B80" s="640"/>
      <c r="C80" s="640"/>
      <c r="D80" s="209" t="s">
        <v>4</v>
      </c>
      <c r="E80" s="209" t="s">
        <v>5</v>
      </c>
      <c r="F80" s="209" t="s">
        <v>6</v>
      </c>
      <c r="G80" s="209" t="s">
        <v>7</v>
      </c>
      <c r="H80" s="209" t="s">
        <v>2</v>
      </c>
      <c r="I80" s="209" t="s">
        <v>3</v>
      </c>
      <c r="J80" s="209" t="s">
        <v>8</v>
      </c>
      <c r="K80" s="389" t="s">
        <v>9</v>
      </c>
      <c r="L80" s="389" t="s">
        <v>1963</v>
      </c>
      <c r="M80" s="389" t="s">
        <v>1964</v>
      </c>
    </row>
    <row r="81" spans="1:16384" s="84" customFormat="1" ht="42" customHeight="1" thickTop="1" thickBot="1" x14ac:dyDescent="0.25">
      <c r="A81" s="404" t="s">
        <v>839</v>
      </c>
      <c r="B81" s="404" t="s">
        <v>802</v>
      </c>
      <c r="C81" s="405" t="s">
        <v>18</v>
      </c>
      <c r="D81" s="404">
        <v>2</v>
      </c>
      <c r="E81" s="404">
        <v>30</v>
      </c>
      <c r="F81" s="404">
        <v>3</v>
      </c>
      <c r="G81" s="404">
        <v>848</v>
      </c>
      <c r="H81" s="212">
        <v>762940719</v>
      </c>
      <c r="I81" s="212">
        <v>510889080</v>
      </c>
      <c r="J81" s="216" t="s">
        <v>781</v>
      </c>
      <c r="K81" s="401" t="s">
        <v>20</v>
      </c>
      <c r="L81" s="405">
        <v>1700</v>
      </c>
      <c r="M81" s="405">
        <v>1139</v>
      </c>
    </row>
    <row r="82" spans="1:16384" s="84" customFormat="1" ht="48" customHeight="1" thickTop="1" thickBot="1" x14ac:dyDescent="0.25">
      <c r="A82" s="404" t="s">
        <v>839</v>
      </c>
      <c r="B82" s="404" t="s">
        <v>802</v>
      </c>
      <c r="C82" s="405" t="s">
        <v>53</v>
      </c>
      <c r="D82" s="404">
        <v>2</v>
      </c>
      <c r="E82" s="404">
        <v>30</v>
      </c>
      <c r="F82" s="404">
        <v>3</v>
      </c>
      <c r="G82" s="404">
        <v>520</v>
      </c>
      <c r="H82" s="212">
        <v>42214550</v>
      </c>
      <c r="I82" s="212">
        <v>42214550</v>
      </c>
      <c r="J82" s="216" t="s">
        <v>782</v>
      </c>
      <c r="K82" s="401" t="s">
        <v>25</v>
      </c>
      <c r="L82" s="404">
        <v>1</v>
      </c>
      <c r="M82" s="404">
        <v>1</v>
      </c>
    </row>
    <row r="83" spans="1:16384" s="84" customFormat="1" ht="48" customHeight="1" thickTop="1" thickBot="1" x14ac:dyDescent="0.25">
      <c r="A83" s="404" t="s">
        <v>839</v>
      </c>
      <c r="B83" s="404" t="s">
        <v>802</v>
      </c>
      <c r="C83" s="405" t="s">
        <v>53</v>
      </c>
      <c r="D83" s="404">
        <v>2</v>
      </c>
      <c r="E83" s="404">
        <v>30</v>
      </c>
      <c r="F83" s="404">
        <v>3</v>
      </c>
      <c r="G83" s="404">
        <v>520</v>
      </c>
      <c r="H83" s="212">
        <v>1405374979</v>
      </c>
      <c r="I83" s="212">
        <v>268028157</v>
      </c>
      <c r="J83" s="216" t="s">
        <v>783</v>
      </c>
      <c r="K83" s="401" t="s">
        <v>13</v>
      </c>
      <c r="L83" s="404">
        <v>3</v>
      </c>
      <c r="M83" s="404">
        <v>3</v>
      </c>
    </row>
    <row r="84" spans="1:16384" s="84" customFormat="1" ht="48" customHeight="1" thickTop="1" thickBot="1" x14ac:dyDescent="0.25">
      <c r="A84" s="404" t="s">
        <v>839</v>
      </c>
      <c r="B84" s="404" t="s">
        <v>802</v>
      </c>
      <c r="C84" s="405" t="s">
        <v>53</v>
      </c>
      <c r="D84" s="404">
        <v>2</v>
      </c>
      <c r="E84" s="404">
        <v>30</v>
      </c>
      <c r="F84" s="404">
        <v>3</v>
      </c>
      <c r="G84" s="404">
        <v>520</v>
      </c>
      <c r="H84" s="212">
        <v>38185199</v>
      </c>
      <c r="I84" s="212">
        <v>38185199</v>
      </c>
      <c r="J84" s="216" t="s">
        <v>784</v>
      </c>
      <c r="K84" s="401" t="s">
        <v>785</v>
      </c>
      <c r="L84" s="404">
        <v>1</v>
      </c>
      <c r="M84" s="404">
        <v>1</v>
      </c>
    </row>
    <row r="85" spans="1:16384" s="84" customFormat="1" ht="48" customHeight="1" thickTop="1" thickBot="1" x14ac:dyDescent="0.25">
      <c r="A85" s="404" t="s">
        <v>839</v>
      </c>
      <c r="B85" s="404" t="s">
        <v>802</v>
      </c>
      <c r="C85" s="405" t="s">
        <v>53</v>
      </c>
      <c r="D85" s="404">
        <v>2</v>
      </c>
      <c r="E85" s="404">
        <v>30</v>
      </c>
      <c r="F85" s="404">
        <v>3</v>
      </c>
      <c r="G85" s="404">
        <v>580</v>
      </c>
      <c r="H85" s="212">
        <v>49418088</v>
      </c>
      <c r="I85" s="212">
        <v>20000000</v>
      </c>
      <c r="J85" s="216" t="s">
        <v>786</v>
      </c>
      <c r="K85" s="401" t="s">
        <v>72</v>
      </c>
      <c r="L85" s="404">
        <v>4</v>
      </c>
      <c r="M85" s="404">
        <v>4</v>
      </c>
    </row>
    <row r="86" spans="1:16384" s="84" customFormat="1" ht="39" customHeight="1" thickTop="1" thickBot="1" x14ac:dyDescent="0.25">
      <c r="A86" s="404" t="s">
        <v>839</v>
      </c>
      <c r="B86" s="404" t="s">
        <v>802</v>
      </c>
      <c r="C86" s="405" t="s">
        <v>440</v>
      </c>
      <c r="D86" s="404">
        <v>2</v>
      </c>
      <c r="E86" s="404">
        <v>30</v>
      </c>
      <c r="F86" s="404">
        <v>3</v>
      </c>
      <c r="G86" s="404">
        <v>520</v>
      </c>
      <c r="H86" s="212">
        <v>375577473</v>
      </c>
      <c r="I86" s="212">
        <v>0</v>
      </c>
      <c r="J86" s="216" t="s">
        <v>787</v>
      </c>
      <c r="K86" s="401" t="s">
        <v>11</v>
      </c>
      <c r="L86" s="405">
        <v>4500</v>
      </c>
      <c r="M86" s="405">
        <v>0</v>
      </c>
    </row>
    <row r="87" spans="1:16384" s="429" customFormat="1" ht="39" customHeight="1" thickTop="1" thickBot="1" x14ac:dyDescent="0.25">
      <c r="A87" s="404" t="s">
        <v>839</v>
      </c>
      <c r="B87" s="404" t="s">
        <v>802</v>
      </c>
      <c r="C87" s="405" t="s">
        <v>440</v>
      </c>
      <c r="D87" s="404">
        <v>2</v>
      </c>
      <c r="E87" s="404">
        <v>30</v>
      </c>
      <c r="F87" s="404">
        <v>3</v>
      </c>
      <c r="G87" s="404">
        <v>580</v>
      </c>
      <c r="H87" s="212">
        <v>24570768</v>
      </c>
      <c r="I87" s="212">
        <v>0</v>
      </c>
      <c r="J87" s="216" t="s">
        <v>788</v>
      </c>
      <c r="K87" s="401" t="s">
        <v>72</v>
      </c>
      <c r="L87" s="404">
        <v>1</v>
      </c>
      <c r="M87" s="404">
        <v>0</v>
      </c>
      <c r="N87" s="428"/>
    </row>
    <row r="88" spans="1:16384" s="149" customFormat="1" ht="21" customHeight="1" thickTop="1" thickBot="1" x14ac:dyDescent="0.3">
      <c r="A88" s="129"/>
      <c r="B88" s="128"/>
      <c r="C88" s="130"/>
      <c r="D88" s="12"/>
      <c r="E88" s="12"/>
      <c r="F88" s="12"/>
      <c r="G88" s="12"/>
      <c r="H88" s="11"/>
      <c r="I88" s="11"/>
      <c r="J88" s="5"/>
      <c r="K88" s="12"/>
      <c r="L88" s="11"/>
      <c r="M88" s="11"/>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3"/>
      <c r="CL88" s="123"/>
      <c r="CM88" s="123"/>
      <c r="CN88" s="123"/>
      <c r="CO88" s="123"/>
      <c r="CP88" s="123"/>
      <c r="CQ88" s="123"/>
      <c r="CR88" s="123"/>
      <c r="CS88" s="123"/>
      <c r="CT88" s="123"/>
      <c r="CU88" s="123"/>
      <c r="CV88" s="123"/>
      <c r="CW88" s="123"/>
      <c r="CX88" s="123"/>
      <c r="CY88" s="123"/>
      <c r="CZ88" s="123"/>
      <c r="DA88" s="123"/>
      <c r="DB88" s="123"/>
      <c r="DC88" s="123"/>
      <c r="DD88" s="123"/>
      <c r="DE88" s="123"/>
      <c r="DF88" s="123"/>
      <c r="DG88" s="123"/>
      <c r="DH88" s="123"/>
      <c r="DI88" s="123"/>
      <c r="DJ88" s="123"/>
      <c r="DK88" s="123"/>
      <c r="DL88" s="123"/>
      <c r="DM88" s="123"/>
      <c r="DN88" s="123"/>
      <c r="DO88" s="123"/>
      <c r="DP88" s="123"/>
      <c r="DQ88" s="123"/>
      <c r="DR88" s="123"/>
      <c r="DS88" s="123"/>
      <c r="DT88" s="123"/>
      <c r="DU88" s="123"/>
      <c r="DV88" s="123"/>
      <c r="DW88" s="123"/>
      <c r="DX88" s="123"/>
      <c r="DY88" s="123"/>
      <c r="DZ88" s="123"/>
      <c r="EA88" s="123"/>
      <c r="EB88" s="123"/>
      <c r="EC88" s="123"/>
      <c r="ED88" s="123"/>
      <c r="EE88" s="123"/>
      <c r="EF88" s="123"/>
      <c r="EG88" s="123"/>
      <c r="EH88" s="123"/>
      <c r="EI88" s="123"/>
      <c r="EJ88" s="123"/>
      <c r="EK88" s="123"/>
      <c r="EL88" s="123"/>
      <c r="EM88" s="123"/>
      <c r="EN88" s="123"/>
      <c r="EO88" s="123"/>
      <c r="EP88" s="123"/>
      <c r="EQ88" s="123"/>
      <c r="ER88" s="123"/>
      <c r="ES88" s="123"/>
      <c r="ET88" s="123"/>
      <c r="EU88" s="123"/>
      <c r="EV88" s="123"/>
      <c r="EW88" s="123"/>
      <c r="EX88" s="123"/>
      <c r="EY88" s="123"/>
      <c r="EZ88" s="123"/>
      <c r="FA88" s="123"/>
      <c r="FB88" s="123"/>
      <c r="FC88" s="123"/>
      <c r="FD88" s="123"/>
      <c r="FE88" s="123"/>
      <c r="FF88" s="123"/>
      <c r="FG88" s="123"/>
      <c r="FH88" s="123"/>
      <c r="FI88" s="123"/>
      <c r="FJ88" s="123"/>
      <c r="FK88" s="123"/>
      <c r="FL88" s="123"/>
      <c r="FM88" s="123"/>
      <c r="FN88" s="123"/>
      <c r="FO88" s="123"/>
      <c r="FP88" s="123"/>
      <c r="FQ88" s="123"/>
      <c r="FR88" s="123"/>
      <c r="FS88" s="123"/>
      <c r="FT88" s="123"/>
      <c r="FU88" s="123"/>
      <c r="FV88" s="123"/>
      <c r="FW88" s="123"/>
      <c r="FX88" s="123"/>
      <c r="FY88" s="123"/>
      <c r="FZ88" s="123"/>
      <c r="GA88" s="123"/>
      <c r="GB88" s="123"/>
      <c r="GC88" s="123"/>
      <c r="GD88" s="123"/>
      <c r="GE88" s="123"/>
      <c r="GF88" s="123"/>
      <c r="GG88" s="123"/>
      <c r="GH88" s="123"/>
      <c r="GI88" s="123"/>
      <c r="GJ88" s="123"/>
      <c r="GK88" s="123"/>
      <c r="GL88" s="123"/>
      <c r="GM88" s="123"/>
      <c r="GN88" s="123"/>
      <c r="GO88" s="123"/>
      <c r="GP88" s="123"/>
      <c r="GQ88" s="123"/>
      <c r="GR88" s="123"/>
      <c r="GS88" s="123"/>
      <c r="GT88" s="123"/>
      <c r="GU88" s="123"/>
      <c r="GV88" s="123"/>
      <c r="GW88" s="123"/>
      <c r="GX88" s="123"/>
      <c r="GY88" s="123"/>
      <c r="GZ88" s="123"/>
      <c r="HA88" s="123"/>
      <c r="HB88" s="123"/>
      <c r="HC88" s="123"/>
      <c r="HD88" s="123"/>
      <c r="HE88" s="123"/>
      <c r="HF88" s="123"/>
      <c r="HG88" s="123"/>
      <c r="HH88" s="123"/>
      <c r="HI88" s="123"/>
      <c r="HJ88" s="123"/>
      <c r="HK88" s="123"/>
      <c r="HL88" s="123"/>
      <c r="HM88" s="123"/>
      <c r="HN88" s="123"/>
      <c r="HO88" s="123"/>
      <c r="HP88" s="123"/>
      <c r="HQ88" s="123"/>
      <c r="HR88" s="123"/>
      <c r="HS88" s="123"/>
      <c r="HT88" s="123"/>
      <c r="HU88" s="123"/>
      <c r="HV88" s="123"/>
      <c r="HW88" s="123"/>
      <c r="HX88" s="123"/>
      <c r="HY88" s="123"/>
      <c r="HZ88" s="123"/>
      <c r="IA88" s="123"/>
      <c r="IB88" s="123"/>
      <c r="IC88" s="123"/>
      <c r="ID88" s="123"/>
      <c r="IE88" s="123"/>
      <c r="IF88" s="123"/>
      <c r="IG88" s="123"/>
      <c r="IH88" s="123"/>
      <c r="II88" s="123"/>
      <c r="IJ88" s="123"/>
      <c r="IK88" s="123"/>
      <c r="IL88" s="123"/>
      <c r="IM88" s="123"/>
      <c r="IN88" s="123"/>
      <c r="IO88" s="123"/>
      <c r="IP88" s="123"/>
      <c r="IQ88" s="123"/>
      <c r="IR88" s="123"/>
      <c r="IS88" s="123"/>
      <c r="IT88" s="123"/>
      <c r="IU88" s="123"/>
      <c r="IV88" s="123"/>
      <c r="IW88" s="123"/>
      <c r="IX88" s="123"/>
      <c r="IY88" s="123"/>
      <c r="IZ88" s="123"/>
      <c r="JA88" s="123"/>
      <c r="JB88" s="123"/>
      <c r="JC88" s="123"/>
      <c r="JD88" s="123"/>
      <c r="JE88" s="123"/>
      <c r="JF88" s="123"/>
      <c r="JG88" s="123"/>
      <c r="JH88" s="123"/>
      <c r="JI88" s="123"/>
      <c r="JJ88" s="123"/>
      <c r="JK88" s="123"/>
      <c r="JL88" s="123"/>
      <c r="JM88" s="123"/>
      <c r="JN88" s="123"/>
      <c r="JO88" s="123"/>
      <c r="JP88" s="123"/>
      <c r="JQ88" s="123"/>
      <c r="JR88" s="123"/>
      <c r="JS88" s="123"/>
      <c r="JT88" s="123"/>
      <c r="JU88" s="123"/>
      <c r="JV88" s="123"/>
      <c r="JW88" s="123"/>
      <c r="JX88" s="123"/>
      <c r="JY88" s="123"/>
      <c r="JZ88" s="123"/>
      <c r="KA88" s="123"/>
      <c r="KB88" s="123"/>
      <c r="KC88" s="123"/>
      <c r="KD88" s="123"/>
      <c r="KE88" s="123"/>
      <c r="KF88" s="123"/>
      <c r="KG88" s="123"/>
      <c r="KH88" s="123"/>
      <c r="KI88" s="123"/>
      <c r="KJ88" s="123"/>
      <c r="KK88" s="123"/>
      <c r="KL88" s="123"/>
      <c r="KM88" s="123"/>
      <c r="KN88" s="123"/>
      <c r="KO88" s="123"/>
      <c r="KP88" s="123"/>
      <c r="KQ88" s="123"/>
      <c r="KR88" s="123"/>
      <c r="KS88" s="123"/>
      <c r="KT88" s="123"/>
      <c r="KU88" s="123"/>
      <c r="KV88" s="123"/>
      <c r="KW88" s="123"/>
      <c r="KX88" s="123"/>
      <c r="KY88" s="123"/>
      <c r="KZ88" s="123"/>
      <c r="LA88" s="123"/>
      <c r="LB88" s="123"/>
      <c r="LC88" s="123"/>
      <c r="LD88" s="123"/>
      <c r="LE88" s="123"/>
      <c r="LF88" s="123"/>
      <c r="LG88" s="123"/>
      <c r="LH88" s="123"/>
      <c r="LI88" s="123"/>
      <c r="LJ88" s="123"/>
      <c r="LK88" s="123"/>
      <c r="LL88" s="123"/>
      <c r="LM88" s="123"/>
      <c r="LN88" s="123"/>
      <c r="LO88" s="123"/>
      <c r="LP88" s="123"/>
      <c r="LQ88" s="123"/>
      <c r="LR88" s="123"/>
      <c r="LS88" s="123"/>
      <c r="LT88" s="123"/>
      <c r="LU88" s="123"/>
      <c r="LV88" s="123"/>
      <c r="LW88" s="123"/>
      <c r="LX88" s="123"/>
      <c r="LY88" s="123"/>
      <c r="LZ88" s="123"/>
      <c r="MA88" s="123"/>
      <c r="MB88" s="123"/>
      <c r="MC88" s="123"/>
      <c r="MD88" s="123"/>
      <c r="ME88" s="123"/>
      <c r="MF88" s="123"/>
      <c r="MG88" s="123"/>
      <c r="MH88" s="123"/>
      <c r="MI88" s="123"/>
      <c r="MJ88" s="123"/>
      <c r="MK88" s="123"/>
      <c r="ML88" s="123"/>
      <c r="MM88" s="123"/>
      <c r="MN88" s="123"/>
      <c r="MO88" s="123"/>
      <c r="MP88" s="123"/>
      <c r="MQ88" s="123"/>
      <c r="MR88" s="123"/>
      <c r="MS88" s="123"/>
      <c r="MT88" s="123"/>
      <c r="MU88" s="123"/>
      <c r="MV88" s="123"/>
      <c r="MW88" s="123"/>
      <c r="MX88" s="123"/>
      <c r="MY88" s="123"/>
      <c r="MZ88" s="123"/>
      <c r="NA88" s="123"/>
      <c r="NB88" s="123"/>
      <c r="NC88" s="123"/>
      <c r="ND88" s="123"/>
      <c r="NE88" s="123"/>
      <c r="NF88" s="123"/>
      <c r="NG88" s="123"/>
      <c r="NH88" s="123"/>
      <c r="NI88" s="123"/>
      <c r="NJ88" s="123"/>
      <c r="NK88" s="123"/>
      <c r="NL88" s="123"/>
      <c r="NM88" s="123"/>
      <c r="NN88" s="123"/>
      <c r="NO88" s="123"/>
      <c r="NP88" s="123"/>
      <c r="NQ88" s="123"/>
      <c r="NR88" s="123"/>
      <c r="NS88" s="123"/>
      <c r="NT88" s="123"/>
      <c r="NU88" s="123"/>
      <c r="NV88" s="123"/>
      <c r="NW88" s="123"/>
      <c r="NX88" s="123"/>
      <c r="NY88" s="123"/>
      <c r="NZ88" s="123"/>
      <c r="OA88" s="123"/>
      <c r="OB88" s="123"/>
      <c r="OC88" s="123"/>
      <c r="OD88" s="123"/>
      <c r="OE88" s="123"/>
      <c r="OF88" s="123"/>
      <c r="OG88" s="123"/>
      <c r="OH88" s="123"/>
      <c r="OI88" s="123"/>
      <c r="OJ88" s="123"/>
      <c r="OK88" s="123"/>
      <c r="OL88" s="123"/>
      <c r="OM88" s="123"/>
      <c r="ON88" s="123"/>
      <c r="OO88" s="123"/>
      <c r="OP88" s="123"/>
      <c r="OQ88" s="123"/>
      <c r="OR88" s="123"/>
      <c r="OS88" s="123"/>
      <c r="OT88" s="123"/>
      <c r="OU88" s="123"/>
      <c r="OV88" s="123"/>
      <c r="OW88" s="123"/>
      <c r="OX88" s="123"/>
      <c r="OY88" s="123"/>
      <c r="OZ88" s="123"/>
      <c r="PA88" s="123"/>
      <c r="PB88" s="123"/>
      <c r="PC88" s="123"/>
      <c r="PD88" s="123"/>
      <c r="PE88" s="123"/>
      <c r="PF88" s="123"/>
      <c r="PG88" s="123"/>
      <c r="PH88" s="123"/>
      <c r="PI88" s="123"/>
      <c r="PJ88" s="123"/>
      <c r="PK88" s="123"/>
      <c r="PL88" s="123"/>
      <c r="PM88" s="123"/>
      <c r="PN88" s="123"/>
      <c r="PO88" s="123"/>
      <c r="PP88" s="123"/>
      <c r="PQ88" s="123"/>
      <c r="PR88" s="123"/>
      <c r="PS88" s="123"/>
      <c r="PT88" s="123"/>
      <c r="PU88" s="123"/>
      <c r="PV88" s="123"/>
      <c r="PW88" s="123"/>
      <c r="PX88" s="123"/>
      <c r="PY88" s="123"/>
      <c r="PZ88" s="123"/>
      <c r="QA88" s="123"/>
      <c r="QB88" s="123"/>
      <c r="QC88" s="123"/>
      <c r="QD88" s="123"/>
      <c r="QE88" s="123"/>
      <c r="QF88" s="123"/>
      <c r="QG88" s="123"/>
      <c r="QH88" s="123"/>
      <c r="QI88" s="123"/>
      <c r="QJ88" s="123"/>
      <c r="QK88" s="123"/>
      <c r="QL88" s="123"/>
      <c r="QM88" s="123"/>
      <c r="QN88" s="123"/>
      <c r="QO88" s="123"/>
      <c r="QP88" s="123"/>
      <c r="QQ88" s="123"/>
      <c r="QR88" s="123"/>
      <c r="QS88" s="123"/>
      <c r="QT88" s="123"/>
      <c r="QU88" s="123"/>
      <c r="QV88" s="123"/>
      <c r="QW88" s="123"/>
      <c r="QX88" s="123"/>
      <c r="QY88" s="123"/>
      <c r="QZ88" s="123"/>
      <c r="RA88" s="123"/>
      <c r="RB88" s="123"/>
      <c r="RC88" s="123"/>
      <c r="RD88" s="123"/>
      <c r="RE88" s="123"/>
      <c r="RF88" s="123"/>
      <c r="RG88" s="123"/>
      <c r="RH88" s="123"/>
      <c r="RI88" s="123"/>
      <c r="RJ88" s="123"/>
      <c r="RK88" s="123"/>
      <c r="RL88" s="123"/>
      <c r="RM88" s="123"/>
      <c r="RN88" s="123"/>
      <c r="RO88" s="123"/>
      <c r="RP88" s="123"/>
      <c r="RQ88" s="123"/>
      <c r="RR88" s="123"/>
      <c r="RS88" s="123"/>
      <c r="RT88" s="123"/>
      <c r="RU88" s="123"/>
      <c r="RV88" s="123"/>
      <c r="RW88" s="123"/>
      <c r="RX88" s="123"/>
      <c r="RY88" s="123"/>
      <c r="RZ88" s="123"/>
      <c r="SA88" s="123"/>
      <c r="SB88" s="123"/>
      <c r="SC88" s="123"/>
      <c r="SD88" s="123"/>
      <c r="SE88" s="123"/>
      <c r="SF88" s="123"/>
      <c r="SG88" s="123"/>
      <c r="SH88" s="123"/>
      <c r="SI88" s="123"/>
      <c r="SJ88" s="123"/>
      <c r="SK88" s="123"/>
      <c r="SL88" s="123"/>
      <c r="SM88" s="123"/>
      <c r="SN88" s="123"/>
      <c r="SO88" s="123"/>
      <c r="SP88" s="123"/>
      <c r="SQ88" s="123"/>
      <c r="SR88" s="123"/>
      <c r="SS88" s="123"/>
      <c r="ST88" s="123"/>
      <c r="SU88" s="123"/>
      <c r="SV88" s="123"/>
      <c r="SW88" s="123"/>
      <c r="SX88" s="123"/>
      <c r="SY88" s="123"/>
      <c r="SZ88" s="123"/>
      <c r="TA88" s="123"/>
      <c r="TB88" s="123"/>
      <c r="TC88" s="123"/>
      <c r="TD88" s="123"/>
      <c r="TE88" s="123"/>
      <c r="TF88" s="123"/>
      <c r="TG88" s="123"/>
      <c r="TH88" s="123"/>
      <c r="TI88" s="123"/>
      <c r="TJ88" s="123"/>
      <c r="TK88" s="123"/>
      <c r="TL88" s="123"/>
      <c r="TM88" s="123"/>
      <c r="TN88" s="123"/>
      <c r="TO88" s="123"/>
      <c r="TP88" s="123"/>
      <c r="TQ88" s="123"/>
      <c r="TR88" s="123"/>
      <c r="TS88" s="123"/>
      <c r="TT88" s="123"/>
      <c r="TU88" s="123"/>
      <c r="TV88" s="123"/>
      <c r="TW88" s="123"/>
      <c r="TX88" s="123"/>
      <c r="TY88" s="123"/>
      <c r="TZ88" s="123"/>
      <c r="UA88" s="123"/>
      <c r="UB88" s="123"/>
      <c r="UC88" s="123"/>
      <c r="UD88" s="123"/>
      <c r="UE88" s="123"/>
      <c r="UF88" s="123"/>
      <c r="UG88" s="123"/>
      <c r="UH88" s="123"/>
      <c r="UI88" s="123"/>
      <c r="UJ88" s="123"/>
      <c r="UK88" s="123"/>
      <c r="UL88" s="123"/>
      <c r="UM88" s="123"/>
      <c r="UN88" s="123"/>
      <c r="UO88" s="123"/>
      <c r="UP88" s="123"/>
      <c r="UQ88" s="123"/>
      <c r="UR88" s="123"/>
      <c r="US88" s="123"/>
      <c r="UT88" s="123"/>
      <c r="UU88" s="123"/>
      <c r="UV88" s="123"/>
      <c r="UW88" s="123"/>
      <c r="UX88" s="123"/>
      <c r="UY88" s="123"/>
      <c r="UZ88" s="123"/>
      <c r="VA88" s="123"/>
      <c r="VB88" s="123"/>
      <c r="VC88" s="123"/>
      <c r="VD88" s="123"/>
      <c r="VE88" s="123"/>
      <c r="VF88" s="123"/>
      <c r="VG88" s="123"/>
      <c r="VH88" s="123"/>
      <c r="VI88" s="123"/>
      <c r="VJ88" s="123"/>
      <c r="VK88" s="123"/>
      <c r="VL88" s="123"/>
      <c r="VM88" s="123"/>
      <c r="VN88" s="123"/>
      <c r="VO88" s="123"/>
      <c r="VP88" s="123"/>
      <c r="VQ88" s="123"/>
      <c r="VR88" s="123"/>
      <c r="VS88" s="123"/>
      <c r="VT88" s="123"/>
      <c r="VU88" s="123"/>
      <c r="VV88" s="123"/>
      <c r="VW88" s="123"/>
      <c r="VX88" s="123"/>
      <c r="VY88" s="123"/>
      <c r="VZ88" s="123"/>
      <c r="WA88" s="123"/>
      <c r="WB88" s="123"/>
      <c r="WC88" s="123"/>
      <c r="WD88" s="123"/>
      <c r="WE88" s="123"/>
      <c r="WF88" s="123"/>
      <c r="WG88" s="123"/>
      <c r="WH88" s="123"/>
      <c r="WI88" s="123"/>
      <c r="WJ88" s="123"/>
      <c r="WK88" s="123"/>
      <c r="WL88" s="123"/>
      <c r="WM88" s="123"/>
      <c r="WN88" s="123"/>
      <c r="WO88" s="123"/>
      <c r="WP88" s="123"/>
      <c r="WQ88" s="123"/>
      <c r="WR88" s="123"/>
      <c r="WS88" s="123"/>
      <c r="WT88" s="123"/>
      <c r="WU88" s="123"/>
      <c r="WV88" s="123"/>
      <c r="WW88" s="123"/>
      <c r="WX88" s="123"/>
      <c r="WY88" s="123"/>
      <c r="WZ88" s="123"/>
      <c r="XA88" s="123"/>
      <c r="XB88" s="123"/>
      <c r="XC88" s="123"/>
      <c r="XD88" s="123"/>
      <c r="XE88" s="123"/>
      <c r="XF88" s="123"/>
      <c r="XG88" s="123"/>
      <c r="XH88" s="123"/>
      <c r="XI88" s="123"/>
      <c r="XJ88" s="123"/>
      <c r="XK88" s="123"/>
      <c r="XL88" s="123"/>
      <c r="XM88" s="123"/>
      <c r="XN88" s="123"/>
      <c r="XO88" s="123"/>
      <c r="XP88" s="123"/>
      <c r="XQ88" s="123"/>
      <c r="XR88" s="123"/>
      <c r="XS88" s="123"/>
      <c r="XT88" s="123"/>
      <c r="XU88" s="123"/>
      <c r="XV88" s="123"/>
      <c r="XW88" s="123"/>
      <c r="XX88" s="123"/>
      <c r="XY88" s="123"/>
      <c r="XZ88" s="123"/>
      <c r="YA88" s="123"/>
      <c r="YB88" s="123"/>
      <c r="YC88" s="123"/>
      <c r="YD88" s="123"/>
      <c r="YE88" s="123"/>
      <c r="YF88" s="123"/>
      <c r="YG88" s="123"/>
      <c r="YH88" s="123"/>
      <c r="YI88" s="123"/>
      <c r="YJ88" s="123"/>
      <c r="YK88" s="123"/>
      <c r="YL88" s="123"/>
      <c r="YM88" s="123"/>
      <c r="YN88" s="123"/>
      <c r="YO88" s="123"/>
      <c r="YP88" s="123"/>
      <c r="YQ88" s="123"/>
      <c r="YR88" s="123"/>
      <c r="YS88" s="123"/>
      <c r="YT88" s="123"/>
      <c r="YU88" s="123"/>
      <c r="YV88" s="123"/>
      <c r="YW88" s="123"/>
      <c r="YX88" s="123"/>
      <c r="YY88" s="123"/>
      <c r="YZ88" s="123"/>
      <c r="ZA88" s="123"/>
      <c r="ZB88" s="123"/>
      <c r="ZC88" s="123"/>
      <c r="ZD88" s="123"/>
      <c r="ZE88" s="123"/>
      <c r="ZF88" s="123"/>
      <c r="ZG88" s="123"/>
      <c r="ZH88" s="123"/>
      <c r="ZI88" s="123"/>
      <c r="ZJ88" s="123"/>
      <c r="ZK88" s="123"/>
      <c r="ZL88" s="123"/>
      <c r="ZM88" s="123"/>
      <c r="ZN88" s="123"/>
      <c r="ZO88" s="123"/>
      <c r="ZP88" s="123"/>
      <c r="ZQ88" s="123"/>
      <c r="ZR88" s="123"/>
      <c r="ZS88" s="123"/>
      <c r="ZT88" s="123"/>
      <c r="ZU88" s="123"/>
      <c r="ZV88" s="123"/>
      <c r="ZW88" s="123"/>
      <c r="ZX88" s="123"/>
      <c r="ZY88" s="123"/>
      <c r="ZZ88" s="123"/>
      <c r="AAA88" s="123"/>
      <c r="AAB88" s="123"/>
      <c r="AAC88" s="123"/>
      <c r="AAD88" s="123"/>
      <c r="AAE88" s="123"/>
      <c r="AAF88" s="123"/>
      <c r="AAG88" s="123"/>
      <c r="AAH88" s="123"/>
      <c r="AAI88" s="123"/>
      <c r="AAJ88" s="123"/>
      <c r="AAK88" s="123"/>
      <c r="AAL88" s="123"/>
      <c r="AAM88" s="123"/>
      <c r="AAN88" s="123"/>
      <c r="AAO88" s="123"/>
      <c r="AAP88" s="123"/>
      <c r="AAQ88" s="123"/>
      <c r="AAR88" s="123"/>
      <c r="AAS88" s="123"/>
      <c r="AAT88" s="123"/>
      <c r="AAU88" s="123"/>
      <c r="AAV88" s="123"/>
      <c r="AAW88" s="123"/>
      <c r="AAX88" s="123"/>
      <c r="AAY88" s="123"/>
      <c r="AAZ88" s="123"/>
      <c r="ABA88" s="123"/>
      <c r="ABB88" s="123"/>
      <c r="ABC88" s="123"/>
      <c r="ABD88" s="123"/>
      <c r="ABE88" s="123"/>
      <c r="ABF88" s="123"/>
      <c r="ABG88" s="123"/>
      <c r="ABH88" s="123"/>
      <c r="ABI88" s="123"/>
      <c r="ABJ88" s="123"/>
      <c r="ABK88" s="123"/>
      <c r="ABL88" s="123"/>
      <c r="ABM88" s="123"/>
      <c r="ABN88" s="123"/>
      <c r="ABO88" s="123"/>
      <c r="ABP88" s="123"/>
      <c r="ABQ88" s="123"/>
      <c r="ABR88" s="123"/>
      <c r="ABS88" s="123"/>
      <c r="ABT88" s="123"/>
      <c r="ABU88" s="123"/>
      <c r="ABV88" s="123"/>
      <c r="ABW88" s="123"/>
      <c r="ABX88" s="123"/>
      <c r="ABY88" s="123"/>
      <c r="ABZ88" s="123"/>
      <c r="ACA88" s="123"/>
      <c r="ACB88" s="123"/>
      <c r="ACC88" s="123"/>
      <c r="ACD88" s="123"/>
      <c r="ACE88" s="123"/>
      <c r="ACF88" s="123"/>
      <c r="ACG88" s="123"/>
      <c r="ACH88" s="123"/>
      <c r="ACI88" s="123"/>
      <c r="ACJ88" s="123"/>
      <c r="ACK88" s="123"/>
      <c r="ACL88" s="123"/>
      <c r="ACM88" s="123"/>
      <c r="ACN88" s="123"/>
      <c r="ACO88" s="123"/>
      <c r="ACP88" s="123"/>
      <c r="ACQ88" s="123"/>
      <c r="ACR88" s="123"/>
      <c r="ACS88" s="123"/>
      <c r="ACT88" s="123"/>
      <c r="ACU88" s="123"/>
      <c r="ACV88" s="123"/>
      <c r="ACW88" s="123"/>
      <c r="ACX88" s="123"/>
      <c r="ACY88" s="123"/>
      <c r="ACZ88" s="123"/>
      <c r="ADA88" s="123"/>
      <c r="ADB88" s="123"/>
      <c r="ADC88" s="123"/>
      <c r="ADD88" s="123"/>
      <c r="ADE88" s="123"/>
      <c r="ADF88" s="123"/>
      <c r="ADG88" s="123"/>
      <c r="ADH88" s="123"/>
      <c r="ADI88" s="123"/>
      <c r="ADJ88" s="123"/>
      <c r="ADK88" s="123"/>
      <c r="ADL88" s="123"/>
      <c r="ADM88" s="123"/>
      <c r="ADN88" s="123"/>
      <c r="ADO88" s="123"/>
      <c r="ADP88" s="123"/>
      <c r="ADQ88" s="123"/>
      <c r="ADR88" s="123"/>
      <c r="ADS88" s="123"/>
      <c r="ADT88" s="123"/>
      <c r="ADU88" s="123"/>
      <c r="ADV88" s="123"/>
      <c r="ADW88" s="123"/>
      <c r="ADX88" s="123"/>
      <c r="ADY88" s="123"/>
      <c r="ADZ88" s="123"/>
      <c r="AEA88" s="123"/>
      <c r="AEB88" s="123"/>
      <c r="AEC88" s="123"/>
      <c r="AED88" s="123"/>
      <c r="AEE88" s="123"/>
      <c r="AEF88" s="123"/>
      <c r="AEG88" s="123"/>
      <c r="AEH88" s="123"/>
      <c r="AEI88" s="123"/>
      <c r="AEJ88" s="123"/>
      <c r="AEK88" s="123"/>
      <c r="AEL88" s="123"/>
      <c r="AEM88" s="123"/>
      <c r="AEN88" s="123"/>
      <c r="AEO88" s="123"/>
      <c r="AEP88" s="123"/>
      <c r="AEQ88" s="123"/>
      <c r="AER88" s="123"/>
      <c r="AES88" s="123"/>
      <c r="AET88" s="123"/>
      <c r="AEU88" s="123"/>
      <c r="AEV88" s="123"/>
      <c r="AEW88" s="123"/>
      <c r="AEX88" s="123"/>
      <c r="AEY88" s="123"/>
      <c r="AEZ88" s="123"/>
      <c r="AFA88" s="123"/>
      <c r="AFB88" s="123"/>
      <c r="AFC88" s="123"/>
      <c r="AFD88" s="123"/>
      <c r="AFE88" s="123"/>
      <c r="AFF88" s="123"/>
      <c r="AFG88" s="123"/>
      <c r="AFH88" s="123"/>
      <c r="AFI88" s="123"/>
      <c r="AFJ88" s="123"/>
      <c r="AFK88" s="123"/>
      <c r="AFL88" s="123"/>
      <c r="AFM88" s="123"/>
      <c r="AFN88" s="123"/>
      <c r="AFO88" s="123"/>
      <c r="AFP88" s="123"/>
      <c r="AFQ88" s="123"/>
      <c r="AFR88" s="123"/>
      <c r="AFS88" s="123"/>
      <c r="AFT88" s="123"/>
      <c r="AFU88" s="123"/>
      <c r="AFV88" s="123"/>
      <c r="AFW88" s="123"/>
      <c r="AFX88" s="123"/>
      <c r="AFY88" s="123"/>
      <c r="AFZ88" s="123"/>
      <c r="AGA88" s="123"/>
      <c r="AGB88" s="123"/>
      <c r="AGC88" s="123"/>
      <c r="AGD88" s="123"/>
      <c r="AGE88" s="123"/>
      <c r="AGF88" s="123"/>
      <c r="AGG88" s="123"/>
      <c r="AGH88" s="123"/>
      <c r="AGI88" s="123"/>
      <c r="AGJ88" s="123"/>
      <c r="AGK88" s="123"/>
      <c r="AGL88" s="123"/>
      <c r="AGM88" s="123"/>
      <c r="AGN88" s="123"/>
      <c r="AGO88" s="123"/>
      <c r="AGP88" s="123"/>
      <c r="AGQ88" s="123"/>
      <c r="AGR88" s="123"/>
      <c r="AGS88" s="123"/>
      <c r="AGT88" s="123"/>
      <c r="AGU88" s="123"/>
      <c r="AGV88" s="123"/>
      <c r="AGW88" s="123"/>
      <c r="AGX88" s="123"/>
      <c r="AGY88" s="123"/>
      <c r="AGZ88" s="123"/>
      <c r="AHA88" s="123"/>
      <c r="AHB88" s="123"/>
      <c r="AHC88" s="123"/>
      <c r="AHD88" s="123"/>
      <c r="AHE88" s="123"/>
      <c r="AHF88" s="123"/>
      <c r="AHG88" s="123"/>
      <c r="AHH88" s="123"/>
      <c r="AHI88" s="123"/>
      <c r="AHJ88" s="123"/>
      <c r="AHK88" s="123"/>
      <c r="AHL88" s="123"/>
      <c r="AHM88" s="123"/>
      <c r="AHN88" s="123"/>
      <c r="AHO88" s="123"/>
      <c r="AHP88" s="123"/>
      <c r="AHQ88" s="123"/>
      <c r="AHR88" s="123"/>
      <c r="AHS88" s="123"/>
      <c r="AHT88" s="123"/>
      <c r="AHU88" s="123"/>
      <c r="AHV88" s="123"/>
      <c r="AHW88" s="123"/>
      <c r="AHX88" s="123"/>
      <c r="AHY88" s="123"/>
      <c r="AHZ88" s="123"/>
      <c r="AIA88" s="123"/>
      <c r="AIB88" s="123"/>
      <c r="AIC88" s="123"/>
      <c r="AID88" s="123"/>
      <c r="AIE88" s="123"/>
      <c r="AIF88" s="123"/>
      <c r="AIG88" s="123"/>
      <c r="AIH88" s="123"/>
      <c r="AII88" s="123"/>
      <c r="AIJ88" s="123"/>
      <c r="AIK88" s="123"/>
      <c r="AIL88" s="123"/>
      <c r="AIM88" s="123"/>
      <c r="AIN88" s="123"/>
      <c r="AIO88" s="123"/>
      <c r="AIP88" s="123"/>
      <c r="AIQ88" s="123"/>
      <c r="AIR88" s="123"/>
      <c r="AIS88" s="123"/>
      <c r="AIT88" s="123"/>
      <c r="AIU88" s="123"/>
      <c r="AIV88" s="123"/>
      <c r="AIW88" s="123"/>
      <c r="AIX88" s="123"/>
      <c r="AIY88" s="123"/>
      <c r="AIZ88" s="123"/>
      <c r="AJA88" s="123"/>
      <c r="AJB88" s="123"/>
      <c r="AJC88" s="123"/>
      <c r="AJD88" s="123"/>
      <c r="AJE88" s="123"/>
      <c r="AJF88" s="123"/>
      <c r="AJG88" s="123"/>
      <c r="AJH88" s="123"/>
      <c r="AJI88" s="123"/>
      <c r="AJJ88" s="123"/>
      <c r="AJK88" s="123"/>
      <c r="AJL88" s="123"/>
      <c r="AJM88" s="123"/>
      <c r="AJN88" s="123"/>
      <c r="AJO88" s="123"/>
      <c r="AJP88" s="123"/>
      <c r="AJQ88" s="123"/>
      <c r="AJR88" s="123"/>
      <c r="AJS88" s="123"/>
      <c r="AJT88" s="123"/>
      <c r="AJU88" s="123"/>
      <c r="AJV88" s="123"/>
      <c r="AJW88" s="123"/>
      <c r="AJX88" s="123"/>
      <c r="AJY88" s="123"/>
      <c r="AJZ88" s="123"/>
      <c r="AKA88" s="123"/>
      <c r="AKB88" s="123"/>
      <c r="AKC88" s="123"/>
      <c r="AKD88" s="123"/>
      <c r="AKE88" s="123"/>
      <c r="AKF88" s="123"/>
      <c r="AKG88" s="123"/>
      <c r="AKH88" s="123"/>
      <c r="AKI88" s="123"/>
      <c r="AKJ88" s="123"/>
      <c r="AKK88" s="123"/>
      <c r="AKL88" s="123"/>
      <c r="AKM88" s="123"/>
      <c r="AKN88" s="123"/>
      <c r="AKO88" s="123"/>
      <c r="AKP88" s="123"/>
      <c r="AKQ88" s="123"/>
      <c r="AKR88" s="123"/>
      <c r="AKS88" s="123"/>
      <c r="AKT88" s="123"/>
      <c r="AKU88" s="123"/>
      <c r="AKV88" s="123"/>
      <c r="AKW88" s="123"/>
      <c r="AKX88" s="123"/>
      <c r="AKY88" s="123"/>
      <c r="AKZ88" s="123"/>
      <c r="ALA88" s="123"/>
      <c r="ALB88" s="123"/>
      <c r="ALC88" s="123"/>
      <c r="ALD88" s="123"/>
      <c r="ALE88" s="123"/>
      <c r="ALF88" s="123"/>
      <c r="ALG88" s="123"/>
      <c r="ALH88" s="123"/>
      <c r="ALI88" s="123"/>
      <c r="ALJ88" s="123"/>
      <c r="ALK88" s="123"/>
      <c r="ALL88" s="123"/>
      <c r="ALM88" s="123"/>
      <c r="ALN88" s="123"/>
      <c r="ALO88" s="123"/>
      <c r="ALP88" s="123"/>
      <c r="ALQ88" s="123"/>
      <c r="ALR88" s="123"/>
      <c r="ALS88" s="123"/>
      <c r="ALT88" s="123"/>
      <c r="ALU88" s="123"/>
      <c r="ALV88" s="123"/>
      <c r="ALW88" s="123"/>
      <c r="ALX88" s="123"/>
      <c r="ALY88" s="123"/>
      <c r="ALZ88" s="123"/>
      <c r="AMA88" s="123"/>
      <c r="AMB88" s="123"/>
      <c r="AMC88" s="123"/>
      <c r="AMD88" s="123"/>
      <c r="AME88" s="123"/>
      <c r="AMF88" s="123"/>
      <c r="AMG88" s="123"/>
      <c r="AMH88" s="123"/>
      <c r="AMI88" s="123"/>
      <c r="AMJ88" s="123"/>
      <c r="AMK88" s="123"/>
      <c r="AML88" s="123"/>
      <c r="AMM88" s="123"/>
      <c r="AMN88" s="123"/>
      <c r="AMO88" s="123"/>
      <c r="AMP88" s="123"/>
      <c r="AMQ88" s="123"/>
      <c r="AMR88" s="123"/>
      <c r="AMS88" s="123"/>
      <c r="AMT88" s="123"/>
      <c r="AMU88" s="123"/>
      <c r="AMV88" s="123"/>
      <c r="AMW88" s="123"/>
      <c r="AMX88" s="123"/>
      <c r="AMY88" s="123"/>
      <c r="AMZ88" s="123"/>
      <c r="ANA88" s="123"/>
      <c r="ANB88" s="123"/>
      <c r="ANC88" s="123"/>
      <c r="AND88" s="123"/>
      <c r="ANE88" s="123"/>
      <c r="ANF88" s="123"/>
      <c r="ANG88" s="123"/>
      <c r="ANH88" s="123"/>
      <c r="ANI88" s="123"/>
      <c r="ANJ88" s="123"/>
      <c r="ANK88" s="123"/>
      <c r="ANL88" s="123"/>
      <c r="ANM88" s="123"/>
      <c r="ANN88" s="123"/>
      <c r="ANO88" s="123"/>
      <c r="ANP88" s="123"/>
      <c r="ANQ88" s="123"/>
      <c r="ANR88" s="123"/>
      <c r="ANS88" s="123"/>
      <c r="ANT88" s="123"/>
      <c r="ANU88" s="123"/>
      <c r="ANV88" s="123"/>
      <c r="ANW88" s="123"/>
      <c r="ANX88" s="123"/>
      <c r="ANY88" s="123"/>
      <c r="ANZ88" s="123"/>
      <c r="AOA88" s="123"/>
      <c r="AOB88" s="123"/>
      <c r="AOC88" s="123"/>
      <c r="AOD88" s="123"/>
      <c r="AOE88" s="123"/>
      <c r="AOF88" s="123"/>
      <c r="AOG88" s="123"/>
      <c r="AOH88" s="123"/>
      <c r="AOI88" s="123"/>
      <c r="AOJ88" s="123"/>
      <c r="AOK88" s="123"/>
      <c r="AOL88" s="123"/>
      <c r="AOM88" s="123"/>
      <c r="AON88" s="123"/>
      <c r="AOO88" s="123"/>
      <c r="AOP88" s="123"/>
      <c r="AOQ88" s="123"/>
      <c r="AOR88" s="123"/>
      <c r="AOS88" s="123"/>
      <c r="AOT88" s="123"/>
      <c r="AOU88" s="123"/>
      <c r="AOV88" s="123"/>
      <c r="AOW88" s="123"/>
      <c r="AOX88" s="123"/>
      <c r="AOY88" s="123"/>
      <c r="AOZ88" s="123"/>
      <c r="APA88" s="123"/>
      <c r="APB88" s="123"/>
      <c r="APC88" s="123"/>
      <c r="APD88" s="123"/>
      <c r="APE88" s="123"/>
      <c r="APF88" s="123"/>
      <c r="APG88" s="123"/>
      <c r="APH88" s="123"/>
      <c r="API88" s="123"/>
      <c r="APJ88" s="123"/>
      <c r="APK88" s="123"/>
      <c r="APL88" s="123"/>
      <c r="APM88" s="123"/>
      <c r="APN88" s="123"/>
      <c r="APO88" s="123"/>
      <c r="APP88" s="123"/>
      <c r="APQ88" s="123"/>
      <c r="APR88" s="123"/>
      <c r="APS88" s="123"/>
      <c r="APT88" s="123"/>
      <c r="APU88" s="123"/>
      <c r="APV88" s="123"/>
      <c r="APW88" s="123"/>
      <c r="APX88" s="123"/>
      <c r="APY88" s="123"/>
      <c r="APZ88" s="123"/>
      <c r="AQA88" s="123"/>
      <c r="AQB88" s="123"/>
      <c r="AQC88" s="123"/>
      <c r="AQD88" s="123"/>
      <c r="AQE88" s="123"/>
      <c r="AQF88" s="123"/>
      <c r="AQG88" s="123"/>
      <c r="AQH88" s="123"/>
      <c r="AQI88" s="123"/>
      <c r="AQJ88" s="123"/>
      <c r="AQK88" s="123"/>
      <c r="AQL88" s="123"/>
      <c r="AQM88" s="123"/>
      <c r="AQN88" s="123"/>
      <c r="AQO88" s="123"/>
      <c r="AQP88" s="123"/>
      <c r="AQQ88" s="123"/>
      <c r="AQR88" s="123"/>
      <c r="AQS88" s="123"/>
      <c r="AQT88" s="123"/>
      <c r="AQU88" s="123"/>
      <c r="AQV88" s="123"/>
      <c r="AQW88" s="123"/>
      <c r="AQX88" s="123"/>
      <c r="AQY88" s="123"/>
      <c r="AQZ88" s="123"/>
      <c r="ARA88" s="123"/>
      <c r="ARB88" s="123"/>
      <c r="ARC88" s="123"/>
      <c r="ARD88" s="123"/>
      <c r="ARE88" s="123"/>
      <c r="ARF88" s="123"/>
      <c r="ARG88" s="123"/>
      <c r="ARH88" s="123"/>
      <c r="ARI88" s="123"/>
      <c r="ARJ88" s="123"/>
      <c r="ARK88" s="123"/>
      <c r="ARL88" s="123"/>
      <c r="ARM88" s="123"/>
      <c r="ARN88" s="123"/>
      <c r="ARO88" s="123"/>
      <c r="ARP88" s="123"/>
      <c r="ARQ88" s="123"/>
      <c r="ARR88" s="123"/>
      <c r="ARS88" s="123"/>
      <c r="ART88" s="123"/>
      <c r="ARU88" s="123"/>
      <c r="ARV88" s="123"/>
      <c r="ARW88" s="123"/>
      <c r="ARX88" s="123"/>
      <c r="ARY88" s="123"/>
      <c r="ARZ88" s="123"/>
      <c r="ASA88" s="123"/>
      <c r="ASB88" s="123"/>
      <c r="ASC88" s="123"/>
      <c r="ASD88" s="123"/>
      <c r="ASE88" s="123"/>
      <c r="ASF88" s="123"/>
      <c r="ASG88" s="123"/>
      <c r="ASH88" s="123"/>
      <c r="ASI88" s="123"/>
      <c r="ASJ88" s="123"/>
      <c r="ASK88" s="123"/>
      <c r="ASL88" s="123"/>
      <c r="ASM88" s="123"/>
      <c r="ASN88" s="123"/>
      <c r="ASO88" s="123"/>
      <c r="ASP88" s="123"/>
      <c r="ASQ88" s="123"/>
      <c r="ASR88" s="123"/>
      <c r="ASS88" s="123"/>
      <c r="AST88" s="123"/>
      <c r="ASU88" s="123"/>
      <c r="ASV88" s="123"/>
      <c r="ASW88" s="123"/>
      <c r="ASX88" s="123"/>
      <c r="ASY88" s="123"/>
      <c r="ASZ88" s="123"/>
      <c r="ATA88" s="123"/>
      <c r="ATB88" s="123"/>
      <c r="ATC88" s="123"/>
      <c r="ATD88" s="123"/>
      <c r="ATE88" s="123"/>
      <c r="ATF88" s="123"/>
      <c r="ATG88" s="123"/>
      <c r="ATH88" s="123"/>
      <c r="ATI88" s="123"/>
      <c r="ATJ88" s="123"/>
      <c r="ATK88" s="123"/>
      <c r="ATL88" s="123"/>
      <c r="ATM88" s="123"/>
      <c r="ATN88" s="123"/>
      <c r="ATO88" s="123"/>
      <c r="ATP88" s="123"/>
      <c r="ATQ88" s="123"/>
      <c r="ATR88" s="123"/>
      <c r="ATS88" s="123"/>
      <c r="ATT88" s="123"/>
      <c r="ATU88" s="123"/>
      <c r="ATV88" s="123"/>
      <c r="ATW88" s="123"/>
      <c r="ATX88" s="123"/>
      <c r="ATY88" s="123"/>
      <c r="ATZ88" s="123"/>
      <c r="AUA88" s="123"/>
      <c r="AUB88" s="123"/>
      <c r="AUC88" s="123"/>
      <c r="AUD88" s="123"/>
      <c r="AUE88" s="123"/>
      <c r="AUF88" s="123"/>
      <c r="AUG88" s="123"/>
      <c r="AUH88" s="123"/>
      <c r="AUI88" s="123"/>
      <c r="AUJ88" s="123"/>
      <c r="AUK88" s="123"/>
      <c r="AUL88" s="123"/>
      <c r="AUM88" s="123"/>
      <c r="AUN88" s="123"/>
      <c r="AUO88" s="123"/>
      <c r="AUP88" s="123"/>
      <c r="AUQ88" s="123"/>
      <c r="AUR88" s="123"/>
      <c r="AUS88" s="123"/>
      <c r="AUT88" s="123"/>
      <c r="AUU88" s="123"/>
      <c r="AUV88" s="123"/>
      <c r="AUW88" s="123"/>
      <c r="AUX88" s="123"/>
      <c r="AUY88" s="123"/>
      <c r="AUZ88" s="123"/>
      <c r="AVA88" s="123"/>
      <c r="AVB88" s="123"/>
      <c r="AVC88" s="123"/>
      <c r="AVD88" s="123"/>
      <c r="AVE88" s="123"/>
      <c r="AVF88" s="123"/>
      <c r="AVG88" s="123"/>
      <c r="AVH88" s="123"/>
      <c r="AVI88" s="123"/>
      <c r="AVJ88" s="123"/>
      <c r="AVK88" s="123"/>
      <c r="AVL88" s="123"/>
      <c r="AVM88" s="123"/>
      <c r="AVN88" s="123"/>
      <c r="AVO88" s="123"/>
      <c r="AVP88" s="123"/>
      <c r="AVQ88" s="123"/>
      <c r="AVR88" s="123"/>
      <c r="AVS88" s="123"/>
      <c r="AVT88" s="123"/>
      <c r="AVU88" s="123"/>
      <c r="AVV88" s="123"/>
      <c r="AVW88" s="123"/>
      <c r="AVX88" s="123"/>
      <c r="AVY88" s="123"/>
      <c r="AVZ88" s="123"/>
      <c r="AWA88" s="123"/>
      <c r="AWB88" s="123"/>
      <c r="AWC88" s="123"/>
      <c r="AWD88" s="123"/>
      <c r="AWE88" s="123"/>
      <c r="AWF88" s="123"/>
      <c r="AWG88" s="123"/>
      <c r="AWH88" s="123"/>
      <c r="AWI88" s="123"/>
      <c r="AWJ88" s="123"/>
      <c r="AWK88" s="123"/>
      <c r="AWL88" s="123"/>
      <c r="AWM88" s="123"/>
      <c r="AWN88" s="123"/>
      <c r="AWO88" s="123"/>
      <c r="AWP88" s="123"/>
      <c r="AWQ88" s="123"/>
      <c r="AWR88" s="123"/>
      <c r="AWS88" s="123"/>
      <c r="AWT88" s="123"/>
      <c r="AWU88" s="123"/>
      <c r="AWV88" s="123"/>
      <c r="AWW88" s="123"/>
      <c r="AWX88" s="123"/>
      <c r="AWY88" s="123"/>
      <c r="AWZ88" s="123"/>
      <c r="AXA88" s="123"/>
      <c r="AXB88" s="123"/>
      <c r="AXC88" s="123"/>
      <c r="AXD88" s="123"/>
      <c r="AXE88" s="123"/>
      <c r="AXF88" s="123"/>
      <c r="AXG88" s="123"/>
      <c r="AXH88" s="123"/>
      <c r="AXI88" s="123"/>
      <c r="AXJ88" s="123"/>
      <c r="AXK88" s="123"/>
      <c r="AXL88" s="123"/>
      <c r="AXM88" s="123"/>
      <c r="AXN88" s="123"/>
      <c r="AXO88" s="123"/>
      <c r="AXP88" s="123"/>
      <c r="AXQ88" s="123"/>
      <c r="AXR88" s="123"/>
      <c r="AXS88" s="123"/>
      <c r="AXT88" s="123"/>
      <c r="AXU88" s="123"/>
      <c r="AXV88" s="123"/>
      <c r="AXW88" s="123"/>
      <c r="AXX88" s="123"/>
      <c r="AXY88" s="123"/>
      <c r="AXZ88" s="123"/>
      <c r="AYA88" s="123"/>
      <c r="AYB88" s="123"/>
      <c r="AYC88" s="123"/>
      <c r="AYD88" s="123"/>
      <c r="AYE88" s="123"/>
      <c r="AYF88" s="123"/>
      <c r="AYG88" s="123"/>
      <c r="AYH88" s="123"/>
      <c r="AYI88" s="123"/>
      <c r="AYJ88" s="123"/>
      <c r="AYK88" s="123"/>
      <c r="AYL88" s="123"/>
      <c r="AYM88" s="123"/>
      <c r="AYN88" s="123"/>
      <c r="AYO88" s="123"/>
      <c r="AYP88" s="123"/>
      <c r="AYQ88" s="123"/>
      <c r="AYR88" s="123"/>
      <c r="AYS88" s="123"/>
      <c r="AYT88" s="123"/>
      <c r="AYU88" s="123"/>
      <c r="AYV88" s="123"/>
      <c r="AYW88" s="123"/>
      <c r="AYX88" s="123"/>
      <c r="AYY88" s="123"/>
      <c r="AYZ88" s="123"/>
      <c r="AZA88" s="123"/>
      <c r="AZB88" s="123"/>
      <c r="AZC88" s="123"/>
      <c r="AZD88" s="123"/>
      <c r="AZE88" s="123"/>
      <c r="AZF88" s="123"/>
      <c r="AZG88" s="123"/>
      <c r="AZH88" s="123"/>
      <c r="AZI88" s="123"/>
      <c r="AZJ88" s="123"/>
      <c r="AZK88" s="123"/>
      <c r="AZL88" s="123"/>
      <c r="AZM88" s="123"/>
      <c r="AZN88" s="123"/>
      <c r="AZO88" s="123"/>
      <c r="AZP88" s="123"/>
      <c r="AZQ88" s="123"/>
      <c r="AZR88" s="123"/>
      <c r="AZS88" s="123"/>
      <c r="AZT88" s="123"/>
      <c r="AZU88" s="123"/>
      <c r="AZV88" s="123"/>
      <c r="AZW88" s="123"/>
      <c r="AZX88" s="123"/>
      <c r="AZY88" s="123"/>
      <c r="AZZ88" s="123"/>
      <c r="BAA88" s="123"/>
      <c r="BAB88" s="123"/>
      <c r="BAC88" s="123"/>
      <c r="BAD88" s="123"/>
      <c r="BAE88" s="123"/>
      <c r="BAF88" s="123"/>
      <c r="BAG88" s="123"/>
      <c r="BAH88" s="123"/>
      <c r="BAI88" s="123"/>
      <c r="BAJ88" s="123"/>
      <c r="BAK88" s="123"/>
      <c r="BAL88" s="123"/>
      <c r="BAM88" s="123"/>
      <c r="BAN88" s="123"/>
      <c r="BAO88" s="123"/>
      <c r="BAP88" s="123"/>
      <c r="BAQ88" s="123"/>
      <c r="BAR88" s="123"/>
      <c r="BAS88" s="123"/>
      <c r="BAT88" s="123"/>
      <c r="BAU88" s="123"/>
      <c r="BAV88" s="123"/>
      <c r="BAW88" s="123"/>
      <c r="BAX88" s="123"/>
      <c r="BAY88" s="123"/>
      <c r="BAZ88" s="123"/>
      <c r="BBA88" s="123"/>
      <c r="BBB88" s="123"/>
      <c r="BBC88" s="123"/>
      <c r="BBD88" s="123"/>
      <c r="BBE88" s="123"/>
      <c r="BBF88" s="123"/>
      <c r="BBG88" s="123"/>
      <c r="BBH88" s="123"/>
      <c r="BBI88" s="123"/>
      <c r="BBJ88" s="123"/>
      <c r="BBK88" s="123"/>
      <c r="BBL88" s="123"/>
      <c r="BBM88" s="123"/>
      <c r="BBN88" s="123"/>
      <c r="BBO88" s="123"/>
      <c r="BBP88" s="123"/>
      <c r="BBQ88" s="123"/>
      <c r="BBR88" s="123"/>
      <c r="BBS88" s="123"/>
      <c r="BBT88" s="123"/>
      <c r="BBU88" s="123"/>
      <c r="BBV88" s="123"/>
      <c r="BBW88" s="123"/>
      <c r="BBX88" s="123"/>
      <c r="BBY88" s="123"/>
      <c r="BBZ88" s="123"/>
      <c r="BCA88" s="123"/>
      <c r="BCB88" s="123"/>
      <c r="BCC88" s="123"/>
      <c r="BCD88" s="123"/>
      <c r="BCE88" s="123"/>
      <c r="BCF88" s="123"/>
      <c r="BCG88" s="123"/>
      <c r="BCH88" s="123"/>
      <c r="BCI88" s="123"/>
      <c r="BCJ88" s="123"/>
      <c r="BCK88" s="123"/>
      <c r="BCL88" s="123"/>
      <c r="BCM88" s="123"/>
      <c r="BCN88" s="123"/>
      <c r="BCO88" s="123"/>
      <c r="BCP88" s="123"/>
      <c r="BCQ88" s="123"/>
      <c r="BCR88" s="123"/>
      <c r="BCS88" s="123"/>
      <c r="BCT88" s="123"/>
      <c r="BCU88" s="123"/>
      <c r="BCV88" s="123"/>
      <c r="BCW88" s="123"/>
      <c r="BCX88" s="123"/>
      <c r="BCY88" s="123"/>
      <c r="BCZ88" s="123"/>
      <c r="BDA88" s="123"/>
      <c r="BDB88" s="123"/>
      <c r="BDC88" s="123"/>
      <c r="BDD88" s="123"/>
      <c r="BDE88" s="123"/>
      <c r="BDF88" s="123"/>
      <c r="BDG88" s="123"/>
      <c r="BDH88" s="123"/>
      <c r="BDI88" s="123"/>
      <c r="BDJ88" s="123"/>
      <c r="BDK88" s="123"/>
      <c r="BDL88" s="123"/>
      <c r="BDM88" s="123"/>
      <c r="BDN88" s="123"/>
      <c r="BDO88" s="123"/>
      <c r="BDP88" s="123"/>
      <c r="BDQ88" s="123"/>
      <c r="BDR88" s="123"/>
      <c r="BDS88" s="123"/>
      <c r="BDT88" s="123"/>
      <c r="BDU88" s="123"/>
      <c r="BDV88" s="123"/>
      <c r="BDW88" s="123"/>
      <c r="BDX88" s="123"/>
      <c r="BDY88" s="123"/>
      <c r="BDZ88" s="123"/>
      <c r="BEA88" s="123"/>
      <c r="BEB88" s="123"/>
      <c r="BEC88" s="123"/>
      <c r="BED88" s="123"/>
      <c r="BEE88" s="123"/>
      <c r="BEF88" s="123"/>
      <c r="BEG88" s="123"/>
      <c r="BEH88" s="123"/>
      <c r="BEI88" s="123"/>
      <c r="BEJ88" s="123"/>
      <c r="BEK88" s="123"/>
      <c r="BEL88" s="123"/>
      <c r="BEM88" s="123"/>
      <c r="BEN88" s="123"/>
      <c r="BEO88" s="123"/>
      <c r="BEP88" s="123"/>
      <c r="BEQ88" s="123"/>
      <c r="BER88" s="123"/>
      <c r="BES88" s="123"/>
      <c r="BET88" s="123"/>
      <c r="BEU88" s="123"/>
      <c r="BEV88" s="123"/>
      <c r="BEW88" s="123"/>
      <c r="BEX88" s="123"/>
      <c r="BEY88" s="123"/>
      <c r="BEZ88" s="123"/>
      <c r="BFA88" s="123"/>
      <c r="BFB88" s="123"/>
      <c r="BFC88" s="123"/>
      <c r="BFD88" s="123"/>
      <c r="BFE88" s="123"/>
      <c r="BFF88" s="123"/>
      <c r="BFG88" s="123"/>
      <c r="BFH88" s="123"/>
      <c r="BFI88" s="123"/>
      <c r="BFJ88" s="123"/>
      <c r="BFK88" s="123"/>
      <c r="BFL88" s="123"/>
      <c r="BFM88" s="123"/>
      <c r="BFN88" s="123"/>
      <c r="BFO88" s="123"/>
      <c r="BFP88" s="123"/>
      <c r="BFQ88" s="123"/>
      <c r="BFR88" s="123"/>
      <c r="BFS88" s="123"/>
      <c r="BFT88" s="123"/>
      <c r="BFU88" s="123"/>
      <c r="BFV88" s="123"/>
      <c r="BFW88" s="123"/>
      <c r="BFX88" s="123"/>
      <c r="BFY88" s="123"/>
      <c r="BFZ88" s="123"/>
      <c r="BGA88" s="123"/>
      <c r="BGB88" s="123"/>
      <c r="BGC88" s="123"/>
      <c r="BGD88" s="123"/>
      <c r="BGE88" s="123"/>
      <c r="BGF88" s="123"/>
      <c r="BGG88" s="123"/>
      <c r="BGH88" s="123"/>
      <c r="BGI88" s="123"/>
      <c r="BGJ88" s="123"/>
      <c r="BGK88" s="123"/>
      <c r="BGL88" s="123"/>
      <c r="BGM88" s="123"/>
      <c r="BGN88" s="123"/>
      <c r="BGO88" s="123"/>
      <c r="BGP88" s="123"/>
      <c r="BGQ88" s="123"/>
      <c r="BGR88" s="123"/>
      <c r="BGS88" s="123"/>
      <c r="BGT88" s="123"/>
      <c r="BGU88" s="123"/>
      <c r="BGV88" s="123"/>
      <c r="BGW88" s="123"/>
      <c r="BGX88" s="123"/>
      <c r="BGY88" s="123"/>
      <c r="BGZ88" s="123"/>
      <c r="BHA88" s="123"/>
      <c r="BHB88" s="123"/>
      <c r="BHC88" s="123"/>
      <c r="BHD88" s="123"/>
      <c r="BHE88" s="123"/>
      <c r="BHF88" s="123"/>
      <c r="BHG88" s="123"/>
      <c r="BHH88" s="123"/>
      <c r="BHI88" s="123"/>
      <c r="BHJ88" s="123"/>
      <c r="BHK88" s="123"/>
      <c r="BHL88" s="123"/>
      <c r="BHM88" s="123"/>
      <c r="BHN88" s="123"/>
      <c r="BHO88" s="123"/>
      <c r="BHP88" s="123"/>
      <c r="BHQ88" s="123"/>
      <c r="BHR88" s="123"/>
      <c r="BHS88" s="123"/>
      <c r="BHT88" s="123"/>
      <c r="BHU88" s="123"/>
      <c r="BHV88" s="123"/>
      <c r="BHW88" s="123"/>
      <c r="BHX88" s="123"/>
      <c r="BHY88" s="123"/>
      <c r="BHZ88" s="123"/>
      <c r="BIA88" s="123"/>
      <c r="BIB88" s="123"/>
      <c r="BIC88" s="123"/>
      <c r="BID88" s="123"/>
      <c r="BIE88" s="123"/>
      <c r="BIF88" s="123"/>
      <c r="BIG88" s="123"/>
      <c r="BIH88" s="123"/>
      <c r="BII88" s="123"/>
      <c r="BIJ88" s="123"/>
      <c r="BIK88" s="123"/>
      <c r="BIL88" s="123"/>
      <c r="BIM88" s="123"/>
      <c r="BIN88" s="123"/>
      <c r="BIO88" s="123"/>
      <c r="BIP88" s="123"/>
      <c r="BIQ88" s="123"/>
      <c r="BIR88" s="123"/>
      <c r="BIS88" s="123"/>
      <c r="BIT88" s="123"/>
      <c r="BIU88" s="123"/>
      <c r="BIV88" s="123"/>
      <c r="BIW88" s="123"/>
      <c r="BIX88" s="123"/>
      <c r="BIY88" s="123"/>
      <c r="BIZ88" s="123"/>
      <c r="BJA88" s="123"/>
      <c r="BJB88" s="123"/>
      <c r="BJC88" s="123"/>
      <c r="BJD88" s="123"/>
      <c r="BJE88" s="123"/>
      <c r="BJF88" s="123"/>
      <c r="BJG88" s="123"/>
      <c r="BJH88" s="123"/>
      <c r="BJI88" s="123"/>
      <c r="BJJ88" s="123"/>
      <c r="BJK88" s="123"/>
      <c r="BJL88" s="123"/>
      <c r="BJM88" s="123"/>
      <c r="BJN88" s="123"/>
      <c r="BJO88" s="123"/>
      <c r="BJP88" s="123"/>
      <c r="BJQ88" s="123"/>
      <c r="BJR88" s="123"/>
      <c r="BJS88" s="123"/>
      <c r="BJT88" s="123"/>
      <c r="BJU88" s="123"/>
      <c r="BJV88" s="123"/>
      <c r="BJW88" s="123"/>
      <c r="BJX88" s="123"/>
      <c r="BJY88" s="123"/>
      <c r="BJZ88" s="123"/>
      <c r="BKA88" s="123"/>
      <c r="BKB88" s="123"/>
      <c r="BKC88" s="123"/>
      <c r="BKD88" s="123"/>
      <c r="BKE88" s="123"/>
      <c r="BKF88" s="123"/>
      <c r="BKG88" s="123"/>
      <c r="BKH88" s="123"/>
      <c r="BKI88" s="123"/>
      <c r="BKJ88" s="123"/>
      <c r="BKK88" s="123"/>
      <c r="BKL88" s="123"/>
      <c r="BKM88" s="123"/>
      <c r="BKN88" s="123"/>
      <c r="BKO88" s="123"/>
      <c r="BKP88" s="123"/>
      <c r="BKQ88" s="123"/>
      <c r="BKR88" s="123"/>
      <c r="BKS88" s="123"/>
      <c r="BKT88" s="123"/>
      <c r="BKU88" s="123"/>
      <c r="BKV88" s="123"/>
      <c r="BKW88" s="123"/>
      <c r="BKX88" s="123"/>
      <c r="BKY88" s="123"/>
      <c r="BKZ88" s="123"/>
      <c r="BLA88" s="123"/>
      <c r="BLB88" s="123"/>
      <c r="BLC88" s="123"/>
      <c r="BLD88" s="123"/>
      <c r="BLE88" s="123"/>
      <c r="BLF88" s="123"/>
      <c r="BLG88" s="123"/>
      <c r="BLH88" s="123"/>
      <c r="BLI88" s="123"/>
      <c r="BLJ88" s="123"/>
      <c r="BLK88" s="123"/>
      <c r="BLL88" s="123"/>
      <c r="BLM88" s="123"/>
      <c r="BLN88" s="123"/>
      <c r="BLO88" s="123"/>
      <c r="BLP88" s="123"/>
      <c r="BLQ88" s="123"/>
      <c r="BLR88" s="123"/>
      <c r="BLS88" s="123"/>
      <c r="BLT88" s="123"/>
      <c r="BLU88" s="123"/>
      <c r="BLV88" s="123"/>
      <c r="BLW88" s="123"/>
      <c r="BLX88" s="123"/>
      <c r="BLY88" s="123"/>
      <c r="BLZ88" s="123"/>
      <c r="BMA88" s="123"/>
      <c r="BMB88" s="123"/>
      <c r="BMC88" s="123"/>
      <c r="BMD88" s="123"/>
      <c r="BME88" s="123"/>
      <c r="BMF88" s="123"/>
      <c r="BMG88" s="123"/>
      <c r="BMH88" s="123"/>
      <c r="BMI88" s="123"/>
      <c r="BMJ88" s="123"/>
      <c r="BMK88" s="123"/>
      <c r="BML88" s="123"/>
      <c r="BMM88" s="123"/>
      <c r="BMN88" s="123"/>
      <c r="BMO88" s="123"/>
      <c r="BMP88" s="123"/>
      <c r="BMQ88" s="123"/>
      <c r="BMR88" s="123"/>
      <c r="BMS88" s="123"/>
      <c r="BMT88" s="123"/>
      <c r="BMU88" s="123"/>
      <c r="BMV88" s="123"/>
      <c r="BMW88" s="123"/>
      <c r="BMX88" s="123"/>
      <c r="BMY88" s="123"/>
      <c r="BMZ88" s="123"/>
      <c r="BNA88" s="123"/>
      <c r="BNB88" s="123"/>
      <c r="BNC88" s="123"/>
      <c r="BND88" s="123"/>
      <c r="BNE88" s="123"/>
      <c r="BNF88" s="123"/>
      <c r="BNG88" s="123"/>
      <c r="BNH88" s="123"/>
      <c r="BNI88" s="123"/>
      <c r="BNJ88" s="123"/>
      <c r="BNK88" s="123"/>
      <c r="BNL88" s="123"/>
      <c r="BNM88" s="123"/>
      <c r="BNN88" s="123"/>
      <c r="BNO88" s="123"/>
      <c r="BNP88" s="123"/>
      <c r="BNQ88" s="123"/>
      <c r="BNR88" s="123"/>
      <c r="BNS88" s="123"/>
      <c r="BNT88" s="123"/>
      <c r="BNU88" s="123"/>
      <c r="BNV88" s="123"/>
      <c r="BNW88" s="123"/>
      <c r="BNX88" s="123"/>
      <c r="BNY88" s="123"/>
      <c r="BNZ88" s="123"/>
      <c r="BOA88" s="123"/>
      <c r="BOB88" s="123"/>
      <c r="BOC88" s="123"/>
      <c r="BOD88" s="123"/>
      <c r="BOE88" s="123"/>
      <c r="BOF88" s="123"/>
      <c r="BOG88" s="123"/>
      <c r="BOH88" s="123"/>
      <c r="BOI88" s="123"/>
      <c r="BOJ88" s="123"/>
      <c r="BOK88" s="123"/>
      <c r="BOL88" s="123"/>
      <c r="BOM88" s="123"/>
      <c r="BON88" s="123"/>
      <c r="BOO88" s="123"/>
      <c r="BOP88" s="123"/>
      <c r="BOQ88" s="123"/>
      <c r="BOR88" s="123"/>
      <c r="BOS88" s="123"/>
      <c r="BOT88" s="123"/>
      <c r="BOU88" s="123"/>
      <c r="BOV88" s="123"/>
      <c r="BOW88" s="123"/>
      <c r="BOX88" s="123"/>
      <c r="BOY88" s="123"/>
      <c r="BOZ88" s="123"/>
      <c r="BPA88" s="123"/>
      <c r="BPB88" s="123"/>
      <c r="BPC88" s="123"/>
      <c r="BPD88" s="123"/>
      <c r="BPE88" s="123"/>
      <c r="BPF88" s="123"/>
      <c r="BPG88" s="123"/>
      <c r="BPH88" s="123"/>
      <c r="BPI88" s="123"/>
      <c r="BPJ88" s="123"/>
      <c r="BPK88" s="123"/>
      <c r="BPL88" s="123"/>
      <c r="BPM88" s="123"/>
      <c r="BPN88" s="123"/>
      <c r="BPO88" s="123"/>
      <c r="BPP88" s="123"/>
      <c r="BPQ88" s="123"/>
      <c r="BPR88" s="123"/>
      <c r="BPS88" s="123"/>
      <c r="BPT88" s="123"/>
      <c r="BPU88" s="123"/>
      <c r="BPV88" s="123"/>
      <c r="BPW88" s="123"/>
      <c r="BPX88" s="123"/>
      <c r="BPY88" s="123"/>
      <c r="BPZ88" s="123"/>
      <c r="BQA88" s="123"/>
      <c r="BQB88" s="123"/>
      <c r="BQC88" s="123"/>
      <c r="BQD88" s="123"/>
      <c r="BQE88" s="123"/>
      <c r="BQF88" s="123"/>
      <c r="BQG88" s="123"/>
      <c r="BQH88" s="123"/>
      <c r="BQI88" s="123"/>
      <c r="BQJ88" s="123"/>
      <c r="BQK88" s="123"/>
      <c r="BQL88" s="123"/>
      <c r="BQM88" s="123"/>
      <c r="BQN88" s="123"/>
      <c r="BQO88" s="123"/>
      <c r="BQP88" s="123"/>
      <c r="BQQ88" s="123"/>
      <c r="BQR88" s="123"/>
      <c r="BQS88" s="123"/>
      <c r="BQT88" s="123"/>
      <c r="BQU88" s="123"/>
      <c r="BQV88" s="123"/>
      <c r="BQW88" s="123"/>
      <c r="BQX88" s="123"/>
      <c r="BQY88" s="123"/>
      <c r="BQZ88" s="123"/>
      <c r="BRA88" s="123"/>
      <c r="BRB88" s="123"/>
      <c r="BRC88" s="123"/>
      <c r="BRD88" s="123"/>
      <c r="BRE88" s="123"/>
      <c r="BRF88" s="123"/>
      <c r="BRG88" s="123"/>
      <c r="BRH88" s="123"/>
      <c r="BRI88" s="123"/>
      <c r="BRJ88" s="123"/>
      <c r="BRK88" s="123"/>
      <c r="BRL88" s="123"/>
      <c r="BRM88" s="123"/>
      <c r="BRN88" s="123"/>
      <c r="BRO88" s="123"/>
      <c r="BRP88" s="123"/>
      <c r="BRQ88" s="123"/>
      <c r="BRR88" s="123"/>
      <c r="BRS88" s="123"/>
      <c r="BRT88" s="123"/>
      <c r="BRU88" s="123"/>
      <c r="BRV88" s="123"/>
      <c r="BRW88" s="123"/>
      <c r="BRX88" s="123"/>
      <c r="BRY88" s="123"/>
      <c r="BRZ88" s="123"/>
      <c r="BSA88" s="123"/>
      <c r="BSB88" s="123"/>
      <c r="BSC88" s="123"/>
      <c r="BSD88" s="123"/>
      <c r="BSE88" s="123"/>
      <c r="BSF88" s="123"/>
      <c r="BSG88" s="123"/>
      <c r="BSH88" s="123"/>
      <c r="BSI88" s="123"/>
      <c r="BSJ88" s="123"/>
      <c r="BSK88" s="123"/>
      <c r="BSL88" s="123"/>
      <c r="BSM88" s="123"/>
      <c r="BSN88" s="123"/>
      <c r="BSO88" s="123"/>
      <c r="BSP88" s="123"/>
      <c r="BSQ88" s="123"/>
      <c r="BSR88" s="123"/>
      <c r="BSS88" s="123"/>
      <c r="BST88" s="123"/>
      <c r="BSU88" s="123"/>
      <c r="BSV88" s="123"/>
      <c r="BSW88" s="123"/>
      <c r="BSX88" s="123"/>
      <c r="BSY88" s="123"/>
      <c r="BSZ88" s="123"/>
      <c r="BTA88" s="123"/>
      <c r="BTB88" s="123"/>
      <c r="BTC88" s="123"/>
      <c r="BTD88" s="123"/>
      <c r="BTE88" s="123"/>
      <c r="BTF88" s="123"/>
      <c r="BTG88" s="123"/>
      <c r="BTH88" s="123"/>
      <c r="BTI88" s="123"/>
      <c r="BTJ88" s="123"/>
      <c r="BTK88" s="123"/>
      <c r="BTL88" s="123"/>
      <c r="BTM88" s="123"/>
      <c r="BTN88" s="123"/>
      <c r="BTO88" s="123"/>
      <c r="BTP88" s="123"/>
      <c r="BTQ88" s="123"/>
      <c r="BTR88" s="123"/>
      <c r="BTS88" s="123"/>
      <c r="BTT88" s="123"/>
      <c r="BTU88" s="123"/>
      <c r="BTV88" s="123"/>
      <c r="BTW88" s="123"/>
      <c r="BTX88" s="123"/>
      <c r="BTY88" s="123"/>
      <c r="BTZ88" s="123"/>
      <c r="BUA88" s="123"/>
      <c r="BUB88" s="123"/>
      <c r="BUC88" s="123"/>
      <c r="BUD88" s="123"/>
      <c r="BUE88" s="123"/>
      <c r="BUF88" s="123"/>
      <c r="BUG88" s="123"/>
      <c r="BUH88" s="123"/>
      <c r="BUI88" s="123"/>
      <c r="BUJ88" s="123"/>
      <c r="BUK88" s="123"/>
      <c r="BUL88" s="123"/>
      <c r="BUM88" s="123"/>
      <c r="BUN88" s="123"/>
      <c r="BUO88" s="123"/>
      <c r="BUP88" s="123"/>
      <c r="BUQ88" s="123"/>
      <c r="BUR88" s="123"/>
      <c r="BUS88" s="123"/>
      <c r="BUT88" s="123"/>
      <c r="BUU88" s="123"/>
      <c r="BUV88" s="123"/>
      <c r="BUW88" s="123"/>
      <c r="BUX88" s="123"/>
      <c r="BUY88" s="123"/>
      <c r="BUZ88" s="123"/>
      <c r="BVA88" s="123"/>
      <c r="BVB88" s="123"/>
      <c r="BVC88" s="123"/>
      <c r="BVD88" s="123"/>
      <c r="BVE88" s="123"/>
      <c r="BVF88" s="123"/>
      <c r="BVG88" s="123"/>
      <c r="BVH88" s="123"/>
      <c r="BVI88" s="123"/>
      <c r="BVJ88" s="123"/>
      <c r="BVK88" s="123"/>
      <c r="BVL88" s="123"/>
      <c r="BVM88" s="123"/>
      <c r="BVN88" s="123"/>
      <c r="BVO88" s="123"/>
      <c r="BVP88" s="123"/>
      <c r="BVQ88" s="123"/>
      <c r="BVR88" s="123"/>
      <c r="BVS88" s="123"/>
      <c r="BVT88" s="123"/>
      <c r="BVU88" s="123"/>
      <c r="BVV88" s="123"/>
      <c r="BVW88" s="123"/>
      <c r="BVX88" s="123"/>
      <c r="BVY88" s="123"/>
      <c r="BVZ88" s="123"/>
      <c r="BWA88" s="123"/>
      <c r="BWB88" s="123"/>
      <c r="BWC88" s="123"/>
      <c r="BWD88" s="123"/>
      <c r="BWE88" s="123"/>
      <c r="BWF88" s="123"/>
      <c r="BWG88" s="123"/>
      <c r="BWH88" s="123"/>
      <c r="BWI88" s="123"/>
      <c r="BWJ88" s="123"/>
      <c r="BWK88" s="123"/>
      <c r="BWL88" s="123"/>
      <c r="BWM88" s="123"/>
      <c r="BWN88" s="123"/>
      <c r="BWO88" s="123"/>
      <c r="BWP88" s="123"/>
      <c r="BWQ88" s="123"/>
      <c r="BWR88" s="123"/>
      <c r="BWS88" s="123"/>
      <c r="BWT88" s="123"/>
      <c r="BWU88" s="123"/>
      <c r="BWV88" s="123"/>
      <c r="BWW88" s="123"/>
      <c r="BWX88" s="123"/>
      <c r="BWY88" s="123"/>
      <c r="BWZ88" s="123"/>
      <c r="BXA88" s="123"/>
      <c r="BXB88" s="123"/>
      <c r="BXC88" s="123"/>
      <c r="BXD88" s="123"/>
      <c r="BXE88" s="123"/>
      <c r="BXF88" s="123"/>
      <c r="BXG88" s="123"/>
      <c r="BXH88" s="123"/>
      <c r="BXI88" s="123"/>
      <c r="BXJ88" s="123"/>
      <c r="BXK88" s="123"/>
      <c r="BXL88" s="123"/>
      <c r="BXM88" s="123"/>
      <c r="BXN88" s="123"/>
      <c r="BXO88" s="123"/>
      <c r="BXP88" s="123"/>
      <c r="BXQ88" s="123"/>
      <c r="BXR88" s="123"/>
      <c r="BXS88" s="123"/>
      <c r="BXT88" s="123"/>
      <c r="BXU88" s="123"/>
      <c r="BXV88" s="123"/>
      <c r="BXW88" s="123"/>
      <c r="BXX88" s="123"/>
      <c r="BXY88" s="123"/>
      <c r="BXZ88" s="123"/>
      <c r="BYA88" s="123"/>
      <c r="BYB88" s="123"/>
      <c r="BYC88" s="123"/>
      <c r="BYD88" s="123"/>
      <c r="BYE88" s="123"/>
      <c r="BYF88" s="123"/>
      <c r="BYG88" s="123"/>
      <c r="BYH88" s="123"/>
      <c r="BYI88" s="123"/>
      <c r="BYJ88" s="123"/>
      <c r="BYK88" s="123"/>
      <c r="BYL88" s="123"/>
      <c r="BYM88" s="123"/>
      <c r="BYN88" s="123"/>
      <c r="BYO88" s="123"/>
      <c r="BYP88" s="123"/>
      <c r="BYQ88" s="123"/>
      <c r="BYR88" s="123"/>
      <c r="BYS88" s="123"/>
      <c r="BYT88" s="123"/>
      <c r="BYU88" s="123"/>
      <c r="BYV88" s="123"/>
      <c r="BYW88" s="123"/>
      <c r="BYX88" s="123"/>
      <c r="BYY88" s="123"/>
      <c r="BYZ88" s="123"/>
      <c r="BZA88" s="123"/>
      <c r="BZB88" s="123"/>
      <c r="BZC88" s="123"/>
      <c r="BZD88" s="123"/>
      <c r="BZE88" s="123"/>
      <c r="BZF88" s="123"/>
      <c r="BZG88" s="123"/>
      <c r="BZH88" s="123"/>
      <c r="BZI88" s="123"/>
      <c r="BZJ88" s="123"/>
      <c r="BZK88" s="123"/>
      <c r="BZL88" s="123"/>
      <c r="BZM88" s="123"/>
      <c r="BZN88" s="123"/>
      <c r="BZO88" s="123"/>
      <c r="BZP88" s="123"/>
      <c r="BZQ88" s="123"/>
      <c r="BZR88" s="123"/>
      <c r="BZS88" s="123"/>
      <c r="BZT88" s="123"/>
      <c r="BZU88" s="123"/>
      <c r="BZV88" s="123"/>
      <c r="BZW88" s="123"/>
      <c r="BZX88" s="123"/>
      <c r="BZY88" s="123"/>
      <c r="BZZ88" s="123"/>
      <c r="CAA88" s="123"/>
      <c r="CAB88" s="123"/>
      <c r="CAC88" s="123"/>
      <c r="CAD88" s="123"/>
      <c r="CAE88" s="123"/>
      <c r="CAF88" s="123"/>
      <c r="CAG88" s="123"/>
      <c r="CAH88" s="123"/>
      <c r="CAI88" s="123"/>
      <c r="CAJ88" s="123"/>
      <c r="CAK88" s="123"/>
      <c r="CAL88" s="123"/>
      <c r="CAM88" s="123"/>
      <c r="CAN88" s="123"/>
      <c r="CAO88" s="123"/>
      <c r="CAP88" s="123"/>
      <c r="CAQ88" s="123"/>
      <c r="CAR88" s="123"/>
      <c r="CAS88" s="123"/>
      <c r="CAT88" s="123"/>
      <c r="CAU88" s="123"/>
      <c r="CAV88" s="123"/>
      <c r="CAW88" s="123"/>
      <c r="CAX88" s="123"/>
      <c r="CAY88" s="123"/>
      <c r="CAZ88" s="123"/>
      <c r="CBA88" s="123"/>
      <c r="CBB88" s="123"/>
      <c r="CBC88" s="123"/>
      <c r="CBD88" s="123"/>
      <c r="CBE88" s="123"/>
      <c r="CBF88" s="123"/>
      <c r="CBG88" s="123"/>
      <c r="CBH88" s="123"/>
      <c r="CBI88" s="123"/>
      <c r="CBJ88" s="123"/>
      <c r="CBK88" s="123"/>
      <c r="CBL88" s="123"/>
      <c r="CBM88" s="123"/>
      <c r="CBN88" s="123"/>
      <c r="CBO88" s="123"/>
      <c r="CBP88" s="123"/>
      <c r="CBQ88" s="123"/>
      <c r="CBR88" s="123"/>
      <c r="CBS88" s="123"/>
      <c r="CBT88" s="123"/>
      <c r="CBU88" s="123"/>
      <c r="CBV88" s="123"/>
      <c r="CBW88" s="123"/>
      <c r="CBX88" s="123"/>
      <c r="CBY88" s="123"/>
      <c r="CBZ88" s="123"/>
      <c r="CCA88" s="123"/>
      <c r="CCB88" s="123"/>
      <c r="CCC88" s="123"/>
      <c r="CCD88" s="123"/>
      <c r="CCE88" s="123"/>
      <c r="CCF88" s="123"/>
      <c r="CCG88" s="123"/>
      <c r="CCH88" s="123"/>
      <c r="CCI88" s="123"/>
      <c r="CCJ88" s="123"/>
      <c r="CCK88" s="123"/>
      <c r="CCL88" s="123"/>
      <c r="CCM88" s="123"/>
      <c r="CCN88" s="123"/>
      <c r="CCO88" s="123"/>
      <c r="CCP88" s="123"/>
      <c r="CCQ88" s="123"/>
      <c r="CCR88" s="123"/>
      <c r="CCS88" s="123"/>
      <c r="CCT88" s="123"/>
      <c r="CCU88" s="123"/>
      <c r="CCV88" s="123"/>
      <c r="CCW88" s="123"/>
      <c r="CCX88" s="123"/>
      <c r="CCY88" s="123"/>
      <c r="CCZ88" s="123"/>
      <c r="CDA88" s="123"/>
      <c r="CDB88" s="123"/>
      <c r="CDC88" s="123"/>
      <c r="CDD88" s="123"/>
      <c r="CDE88" s="123"/>
      <c r="CDF88" s="123"/>
      <c r="CDG88" s="123"/>
      <c r="CDH88" s="123"/>
      <c r="CDI88" s="123"/>
      <c r="CDJ88" s="123"/>
      <c r="CDK88" s="123"/>
      <c r="CDL88" s="123"/>
      <c r="CDM88" s="123"/>
      <c r="CDN88" s="123"/>
      <c r="CDO88" s="123"/>
      <c r="CDP88" s="123"/>
      <c r="CDQ88" s="123"/>
      <c r="CDR88" s="123"/>
      <c r="CDS88" s="123"/>
      <c r="CDT88" s="123"/>
      <c r="CDU88" s="123"/>
      <c r="CDV88" s="123"/>
      <c r="CDW88" s="123"/>
      <c r="CDX88" s="123"/>
      <c r="CDY88" s="123"/>
      <c r="CDZ88" s="123"/>
      <c r="CEA88" s="123"/>
      <c r="CEB88" s="123"/>
      <c r="CEC88" s="123"/>
      <c r="CED88" s="123"/>
      <c r="CEE88" s="123"/>
      <c r="CEF88" s="123"/>
      <c r="CEG88" s="123"/>
      <c r="CEH88" s="123"/>
      <c r="CEI88" s="123"/>
      <c r="CEJ88" s="123"/>
      <c r="CEK88" s="123"/>
      <c r="CEL88" s="123"/>
      <c r="CEM88" s="123"/>
      <c r="CEN88" s="123"/>
      <c r="CEO88" s="123"/>
      <c r="CEP88" s="123"/>
      <c r="CEQ88" s="123"/>
      <c r="CER88" s="123"/>
      <c r="CES88" s="123"/>
      <c r="CET88" s="123"/>
      <c r="CEU88" s="123"/>
      <c r="CEV88" s="123"/>
      <c r="CEW88" s="123"/>
      <c r="CEX88" s="123"/>
      <c r="CEY88" s="123"/>
      <c r="CEZ88" s="123"/>
      <c r="CFA88" s="123"/>
      <c r="CFB88" s="123"/>
      <c r="CFC88" s="123"/>
      <c r="CFD88" s="123"/>
      <c r="CFE88" s="123"/>
      <c r="CFF88" s="123"/>
      <c r="CFG88" s="123"/>
      <c r="CFH88" s="123"/>
      <c r="CFI88" s="123"/>
      <c r="CFJ88" s="123"/>
      <c r="CFK88" s="123"/>
      <c r="CFL88" s="123"/>
      <c r="CFM88" s="123"/>
      <c r="CFN88" s="123"/>
      <c r="CFO88" s="123"/>
      <c r="CFP88" s="123"/>
      <c r="CFQ88" s="123"/>
      <c r="CFR88" s="123"/>
      <c r="CFS88" s="123"/>
      <c r="CFT88" s="123"/>
      <c r="CFU88" s="123"/>
      <c r="CFV88" s="123"/>
      <c r="CFW88" s="123"/>
      <c r="CFX88" s="123"/>
      <c r="CFY88" s="123"/>
      <c r="CFZ88" s="123"/>
      <c r="CGA88" s="123"/>
      <c r="CGB88" s="123"/>
      <c r="CGC88" s="123"/>
      <c r="CGD88" s="123"/>
      <c r="CGE88" s="123"/>
      <c r="CGF88" s="123"/>
      <c r="CGG88" s="123"/>
      <c r="CGH88" s="123"/>
      <c r="CGI88" s="123"/>
      <c r="CGJ88" s="123"/>
      <c r="CGK88" s="123"/>
      <c r="CGL88" s="123"/>
      <c r="CGM88" s="123"/>
      <c r="CGN88" s="123"/>
      <c r="CGO88" s="123"/>
      <c r="CGP88" s="123"/>
      <c r="CGQ88" s="123"/>
      <c r="CGR88" s="123"/>
      <c r="CGS88" s="123"/>
      <c r="CGT88" s="123"/>
      <c r="CGU88" s="123"/>
      <c r="CGV88" s="123"/>
      <c r="CGW88" s="123"/>
      <c r="CGX88" s="123"/>
      <c r="CGY88" s="123"/>
      <c r="CGZ88" s="123"/>
      <c r="CHA88" s="123"/>
      <c r="CHB88" s="123"/>
      <c r="CHC88" s="123"/>
      <c r="CHD88" s="123"/>
      <c r="CHE88" s="123"/>
      <c r="CHF88" s="123"/>
      <c r="CHG88" s="123"/>
      <c r="CHH88" s="123"/>
      <c r="CHI88" s="123"/>
      <c r="CHJ88" s="123"/>
      <c r="CHK88" s="123"/>
      <c r="CHL88" s="123"/>
      <c r="CHM88" s="123"/>
      <c r="CHN88" s="123"/>
      <c r="CHO88" s="123"/>
      <c r="CHP88" s="123"/>
      <c r="CHQ88" s="123"/>
      <c r="CHR88" s="123"/>
      <c r="CHS88" s="123"/>
      <c r="CHT88" s="123"/>
      <c r="CHU88" s="123"/>
      <c r="CHV88" s="123"/>
      <c r="CHW88" s="123"/>
      <c r="CHX88" s="123"/>
      <c r="CHY88" s="123"/>
      <c r="CHZ88" s="123"/>
      <c r="CIA88" s="123"/>
      <c r="CIB88" s="123"/>
      <c r="CIC88" s="123"/>
      <c r="CID88" s="123"/>
      <c r="CIE88" s="123"/>
      <c r="CIF88" s="123"/>
      <c r="CIG88" s="123"/>
      <c r="CIH88" s="123"/>
      <c r="CII88" s="123"/>
      <c r="CIJ88" s="123"/>
      <c r="CIK88" s="123"/>
      <c r="CIL88" s="123"/>
      <c r="CIM88" s="123"/>
      <c r="CIN88" s="123"/>
      <c r="CIO88" s="123"/>
      <c r="CIP88" s="123"/>
      <c r="CIQ88" s="123"/>
      <c r="CIR88" s="123"/>
      <c r="CIS88" s="123"/>
      <c r="CIT88" s="123"/>
      <c r="CIU88" s="123"/>
      <c r="CIV88" s="123"/>
      <c r="CIW88" s="123"/>
      <c r="CIX88" s="123"/>
      <c r="CIY88" s="123"/>
      <c r="CIZ88" s="123"/>
      <c r="CJA88" s="123"/>
      <c r="CJB88" s="123"/>
      <c r="CJC88" s="123"/>
      <c r="CJD88" s="123"/>
      <c r="CJE88" s="123"/>
      <c r="CJF88" s="123"/>
      <c r="CJG88" s="123"/>
      <c r="CJH88" s="123"/>
      <c r="CJI88" s="123"/>
      <c r="CJJ88" s="123"/>
      <c r="CJK88" s="123"/>
      <c r="CJL88" s="123"/>
      <c r="CJM88" s="123"/>
      <c r="CJN88" s="123"/>
      <c r="CJO88" s="123"/>
      <c r="CJP88" s="123"/>
      <c r="CJQ88" s="123"/>
      <c r="CJR88" s="123"/>
      <c r="CJS88" s="123"/>
      <c r="CJT88" s="123"/>
      <c r="CJU88" s="123"/>
      <c r="CJV88" s="123"/>
      <c r="CJW88" s="123"/>
      <c r="CJX88" s="123"/>
      <c r="CJY88" s="123"/>
      <c r="CJZ88" s="123"/>
      <c r="CKA88" s="123"/>
      <c r="CKB88" s="123"/>
      <c r="CKC88" s="123"/>
      <c r="CKD88" s="123"/>
      <c r="CKE88" s="123"/>
      <c r="CKF88" s="123"/>
      <c r="CKG88" s="123"/>
      <c r="CKH88" s="123"/>
      <c r="CKI88" s="123"/>
      <c r="CKJ88" s="123"/>
      <c r="CKK88" s="123"/>
      <c r="CKL88" s="123"/>
      <c r="CKM88" s="123"/>
      <c r="CKN88" s="123"/>
      <c r="CKO88" s="123"/>
      <c r="CKP88" s="123"/>
      <c r="CKQ88" s="123"/>
      <c r="CKR88" s="123"/>
      <c r="CKS88" s="123"/>
      <c r="CKT88" s="123"/>
      <c r="CKU88" s="123"/>
      <c r="CKV88" s="123"/>
      <c r="CKW88" s="123"/>
      <c r="CKX88" s="123"/>
      <c r="CKY88" s="123"/>
      <c r="CKZ88" s="123"/>
      <c r="CLA88" s="123"/>
      <c r="CLB88" s="123"/>
      <c r="CLC88" s="123"/>
      <c r="CLD88" s="123"/>
      <c r="CLE88" s="123"/>
      <c r="CLF88" s="123"/>
      <c r="CLG88" s="123"/>
      <c r="CLH88" s="123"/>
      <c r="CLI88" s="123"/>
      <c r="CLJ88" s="123"/>
      <c r="CLK88" s="123"/>
      <c r="CLL88" s="123"/>
      <c r="CLM88" s="123"/>
      <c r="CLN88" s="123"/>
      <c r="CLO88" s="123"/>
      <c r="CLP88" s="123"/>
      <c r="CLQ88" s="123"/>
      <c r="CLR88" s="123"/>
      <c r="CLS88" s="123"/>
      <c r="CLT88" s="123"/>
      <c r="CLU88" s="123"/>
      <c r="CLV88" s="123"/>
      <c r="CLW88" s="123"/>
      <c r="CLX88" s="123"/>
      <c r="CLY88" s="123"/>
      <c r="CLZ88" s="123"/>
      <c r="CMA88" s="123"/>
      <c r="CMB88" s="123"/>
      <c r="CMC88" s="123"/>
      <c r="CMD88" s="123"/>
      <c r="CME88" s="123"/>
      <c r="CMF88" s="123"/>
      <c r="CMG88" s="123"/>
      <c r="CMH88" s="123"/>
      <c r="CMI88" s="123"/>
      <c r="CMJ88" s="123"/>
      <c r="CMK88" s="123"/>
      <c r="CML88" s="123"/>
      <c r="CMM88" s="123"/>
      <c r="CMN88" s="123"/>
      <c r="CMO88" s="123"/>
      <c r="CMP88" s="123"/>
      <c r="CMQ88" s="123"/>
      <c r="CMR88" s="123"/>
      <c r="CMS88" s="123"/>
      <c r="CMT88" s="123"/>
      <c r="CMU88" s="123"/>
      <c r="CMV88" s="123"/>
      <c r="CMW88" s="123"/>
      <c r="CMX88" s="123"/>
      <c r="CMY88" s="123"/>
      <c r="CMZ88" s="123"/>
      <c r="CNA88" s="123"/>
      <c r="CNB88" s="123"/>
      <c r="CNC88" s="123"/>
      <c r="CND88" s="123"/>
      <c r="CNE88" s="123"/>
      <c r="CNF88" s="123"/>
      <c r="CNG88" s="123"/>
      <c r="CNH88" s="123"/>
      <c r="CNI88" s="123"/>
      <c r="CNJ88" s="123"/>
      <c r="CNK88" s="123"/>
      <c r="CNL88" s="123"/>
      <c r="CNM88" s="123"/>
      <c r="CNN88" s="123"/>
      <c r="CNO88" s="123"/>
      <c r="CNP88" s="123"/>
      <c r="CNQ88" s="123"/>
      <c r="CNR88" s="123"/>
      <c r="CNS88" s="123"/>
      <c r="CNT88" s="123"/>
      <c r="CNU88" s="123"/>
      <c r="CNV88" s="123"/>
      <c r="CNW88" s="123"/>
      <c r="CNX88" s="123"/>
      <c r="CNY88" s="123"/>
      <c r="CNZ88" s="123"/>
      <c r="COA88" s="123"/>
      <c r="COB88" s="123"/>
      <c r="COC88" s="123"/>
      <c r="COD88" s="123"/>
      <c r="COE88" s="123"/>
      <c r="COF88" s="123"/>
      <c r="COG88" s="123"/>
      <c r="COH88" s="123"/>
      <c r="COI88" s="123"/>
      <c r="COJ88" s="123"/>
      <c r="COK88" s="123"/>
      <c r="COL88" s="123"/>
      <c r="COM88" s="123"/>
      <c r="CON88" s="123"/>
      <c r="COO88" s="123"/>
      <c r="COP88" s="123"/>
      <c r="COQ88" s="123"/>
      <c r="COR88" s="123"/>
      <c r="COS88" s="123"/>
      <c r="COT88" s="123"/>
      <c r="COU88" s="123"/>
      <c r="COV88" s="123"/>
      <c r="COW88" s="123"/>
      <c r="COX88" s="123"/>
      <c r="COY88" s="123"/>
      <c r="COZ88" s="123"/>
      <c r="CPA88" s="123"/>
      <c r="CPB88" s="123"/>
      <c r="CPC88" s="123"/>
      <c r="CPD88" s="123"/>
      <c r="CPE88" s="123"/>
      <c r="CPF88" s="123"/>
      <c r="CPG88" s="123"/>
      <c r="CPH88" s="123"/>
      <c r="CPI88" s="123"/>
      <c r="CPJ88" s="123"/>
      <c r="CPK88" s="123"/>
      <c r="CPL88" s="123"/>
      <c r="CPM88" s="123"/>
      <c r="CPN88" s="123"/>
      <c r="CPO88" s="123"/>
      <c r="CPP88" s="123"/>
      <c r="CPQ88" s="123"/>
      <c r="CPR88" s="123"/>
      <c r="CPS88" s="123"/>
      <c r="CPT88" s="123"/>
      <c r="CPU88" s="123"/>
      <c r="CPV88" s="123"/>
      <c r="CPW88" s="123"/>
      <c r="CPX88" s="123"/>
      <c r="CPY88" s="123"/>
      <c r="CPZ88" s="123"/>
      <c r="CQA88" s="123"/>
      <c r="CQB88" s="123"/>
      <c r="CQC88" s="123"/>
      <c r="CQD88" s="123"/>
      <c r="CQE88" s="123"/>
      <c r="CQF88" s="123"/>
      <c r="CQG88" s="123"/>
      <c r="CQH88" s="123"/>
      <c r="CQI88" s="123"/>
      <c r="CQJ88" s="123"/>
      <c r="CQK88" s="123"/>
      <c r="CQL88" s="123"/>
      <c r="CQM88" s="123"/>
      <c r="CQN88" s="123"/>
      <c r="CQO88" s="123"/>
      <c r="CQP88" s="123"/>
      <c r="CQQ88" s="123"/>
      <c r="CQR88" s="123"/>
      <c r="CQS88" s="123"/>
      <c r="CQT88" s="123"/>
      <c r="CQU88" s="123"/>
      <c r="CQV88" s="123"/>
      <c r="CQW88" s="123"/>
      <c r="CQX88" s="123"/>
      <c r="CQY88" s="123"/>
      <c r="CQZ88" s="123"/>
      <c r="CRA88" s="123"/>
      <c r="CRB88" s="123"/>
      <c r="CRC88" s="123"/>
      <c r="CRD88" s="123"/>
      <c r="CRE88" s="123"/>
      <c r="CRF88" s="123"/>
      <c r="CRG88" s="123"/>
      <c r="CRH88" s="123"/>
      <c r="CRI88" s="123"/>
      <c r="CRJ88" s="123"/>
      <c r="CRK88" s="123"/>
      <c r="CRL88" s="123"/>
      <c r="CRM88" s="123"/>
      <c r="CRN88" s="123"/>
      <c r="CRO88" s="123"/>
      <c r="CRP88" s="123"/>
      <c r="CRQ88" s="123"/>
      <c r="CRR88" s="123"/>
      <c r="CRS88" s="123"/>
      <c r="CRT88" s="123"/>
      <c r="CRU88" s="123"/>
      <c r="CRV88" s="123"/>
      <c r="CRW88" s="123"/>
      <c r="CRX88" s="123"/>
      <c r="CRY88" s="123"/>
      <c r="CRZ88" s="123"/>
      <c r="CSA88" s="123"/>
      <c r="CSB88" s="123"/>
      <c r="CSC88" s="123"/>
      <c r="CSD88" s="123"/>
      <c r="CSE88" s="123"/>
      <c r="CSF88" s="123"/>
      <c r="CSG88" s="123"/>
      <c r="CSH88" s="123"/>
      <c r="CSI88" s="123"/>
      <c r="CSJ88" s="123"/>
      <c r="CSK88" s="123"/>
      <c r="CSL88" s="123"/>
      <c r="CSM88" s="123"/>
      <c r="CSN88" s="123"/>
      <c r="CSO88" s="123"/>
      <c r="CSP88" s="123"/>
      <c r="CSQ88" s="123"/>
      <c r="CSR88" s="123"/>
      <c r="CSS88" s="123"/>
      <c r="CST88" s="123"/>
      <c r="CSU88" s="123"/>
      <c r="CSV88" s="123"/>
      <c r="CSW88" s="123"/>
      <c r="CSX88" s="123"/>
      <c r="CSY88" s="123"/>
      <c r="CSZ88" s="123"/>
      <c r="CTA88" s="123"/>
      <c r="CTB88" s="123"/>
      <c r="CTC88" s="123"/>
      <c r="CTD88" s="123"/>
      <c r="CTE88" s="123"/>
      <c r="CTF88" s="123"/>
      <c r="CTG88" s="123"/>
      <c r="CTH88" s="123"/>
      <c r="CTI88" s="123"/>
      <c r="CTJ88" s="123"/>
      <c r="CTK88" s="123"/>
      <c r="CTL88" s="123"/>
      <c r="CTM88" s="123"/>
      <c r="CTN88" s="123"/>
      <c r="CTO88" s="123"/>
      <c r="CTP88" s="123"/>
      <c r="CTQ88" s="123"/>
      <c r="CTR88" s="123"/>
      <c r="CTS88" s="123"/>
      <c r="CTT88" s="123"/>
      <c r="CTU88" s="123"/>
      <c r="CTV88" s="123"/>
      <c r="CTW88" s="123"/>
      <c r="CTX88" s="123"/>
      <c r="CTY88" s="123"/>
      <c r="CTZ88" s="123"/>
      <c r="CUA88" s="123"/>
      <c r="CUB88" s="123"/>
      <c r="CUC88" s="123"/>
      <c r="CUD88" s="123"/>
      <c r="CUE88" s="123"/>
      <c r="CUF88" s="123"/>
      <c r="CUG88" s="123"/>
      <c r="CUH88" s="123"/>
      <c r="CUI88" s="123"/>
      <c r="CUJ88" s="123"/>
      <c r="CUK88" s="123"/>
      <c r="CUL88" s="123"/>
      <c r="CUM88" s="123"/>
      <c r="CUN88" s="123"/>
      <c r="CUO88" s="123"/>
      <c r="CUP88" s="123"/>
      <c r="CUQ88" s="123"/>
      <c r="CUR88" s="123"/>
      <c r="CUS88" s="123"/>
      <c r="CUT88" s="123"/>
      <c r="CUU88" s="123"/>
      <c r="CUV88" s="123"/>
      <c r="CUW88" s="123"/>
      <c r="CUX88" s="123"/>
      <c r="CUY88" s="123"/>
      <c r="CUZ88" s="123"/>
      <c r="CVA88" s="123"/>
      <c r="CVB88" s="123"/>
      <c r="CVC88" s="123"/>
      <c r="CVD88" s="123"/>
      <c r="CVE88" s="123"/>
      <c r="CVF88" s="123"/>
      <c r="CVG88" s="123"/>
      <c r="CVH88" s="123"/>
      <c r="CVI88" s="123"/>
      <c r="CVJ88" s="123"/>
      <c r="CVK88" s="123"/>
      <c r="CVL88" s="123"/>
      <c r="CVM88" s="123"/>
      <c r="CVN88" s="123"/>
      <c r="CVO88" s="123"/>
      <c r="CVP88" s="123"/>
      <c r="CVQ88" s="123"/>
      <c r="CVR88" s="123"/>
      <c r="CVS88" s="123"/>
      <c r="CVT88" s="123"/>
      <c r="CVU88" s="123"/>
      <c r="CVV88" s="123"/>
      <c r="CVW88" s="123"/>
      <c r="CVX88" s="123"/>
      <c r="CVY88" s="123"/>
      <c r="CVZ88" s="123"/>
      <c r="CWA88" s="123"/>
      <c r="CWB88" s="123"/>
      <c r="CWC88" s="123"/>
      <c r="CWD88" s="123"/>
      <c r="CWE88" s="123"/>
      <c r="CWF88" s="123"/>
      <c r="CWG88" s="123"/>
      <c r="CWH88" s="123"/>
      <c r="CWI88" s="123"/>
      <c r="CWJ88" s="123"/>
      <c r="CWK88" s="123"/>
      <c r="CWL88" s="123"/>
      <c r="CWM88" s="123"/>
      <c r="CWN88" s="123"/>
      <c r="CWO88" s="123"/>
      <c r="CWP88" s="123"/>
      <c r="CWQ88" s="123"/>
      <c r="CWR88" s="123"/>
      <c r="CWS88" s="123"/>
      <c r="CWT88" s="123"/>
      <c r="CWU88" s="123"/>
      <c r="CWV88" s="123"/>
      <c r="CWW88" s="123"/>
      <c r="CWX88" s="123"/>
      <c r="CWY88" s="123"/>
      <c r="CWZ88" s="123"/>
      <c r="CXA88" s="123"/>
      <c r="CXB88" s="123"/>
      <c r="CXC88" s="123"/>
      <c r="CXD88" s="123"/>
      <c r="CXE88" s="123"/>
      <c r="CXF88" s="123"/>
      <c r="CXG88" s="123"/>
      <c r="CXH88" s="123"/>
      <c r="CXI88" s="123"/>
      <c r="CXJ88" s="123"/>
      <c r="CXK88" s="123"/>
      <c r="CXL88" s="123"/>
      <c r="CXM88" s="123"/>
      <c r="CXN88" s="123"/>
      <c r="CXO88" s="123"/>
      <c r="CXP88" s="123"/>
      <c r="CXQ88" s="123"/>
      <c r="CXR88" s="123"/>
      <c r="CXS88" s="123"/>
      <c r="CXT88" s="123"/>
      <c r="CXU88" s="123"/>
      <c r="CXV88" s="123"/>
      <c r="CXW88" s="123"/>
      <c r="CXX88" s="123"/>
      <c r="CXY88" s="123"/>
      <c r="CXZ88" s="123"/>
      <c r="CYA88" s="123"/>
      <c r="CYB88" s="123"/>
      <c r="CYC88" s="123"/>
      <c r="CYD88" s="123"/>
      <c r="CYE88" s="123"/>
      <c r="CYF88" s="123"/>
      <c r="CYG88" s="123"/>
      <c r="CYH88" s="123"/>
      <c r="CYI88" s="123"/>
      <c r="CYJ88" s="123"/>
      <c r="CYK88" s="123"/>
      <c r="CYL88" s="123"/>
      <c r="CYM88" s="123"/>
      <c r="CYN88" s="123"/>
      <c r="CYO88" s="123"/>
      <c r="CYP88" s="123"/>
      <c r="CYQ88" s="123"/>
      <c r="CYR88" s="123"/>
      <c r="CYS88" s="123"/>
      <c r="CYT88" s="123"/>
      <c r="CYU88" s="123"/>
      <c r="CYV88" s="123"/>
      <c r="CYW88" s="123"/>
      <c r="CYX88" s="123"/>
      <c r="CYY88" s="123"/>
      <c r="CYZ88" s="123"/>
      <c r="CZA88" s="123"/>
      <c r="CZB88" s="123"/>
      <c r="CZC88" s="123"/>
      <c r="CZD88" s="123"/>
      <c r="CZE88" s="123"/>
      <c r="CZF88" s="123"/>
      <c r="CZG88" s="123"/>
      <c r="CZH88" s="123"/>
      <c r="CZI88" s="123"/>
      <c r="CZJ88" s="123"/>
      <c r="CZK88" s="123"/>
      <c r="CZL88" s="123"/>
      <c r="CZM88" s="123"/>
      <c r="CZN88" s="123"/>
      <c r="CZO88" s="123"/>
      <c r="CZP88" s="123"/>
      <c r="CZQ88" s="123"/>
      <c r="CZR88" s="123"/>
      <c r="CZS88" s="123"/>
      <c r="CZT88" s="123"/>
      <c r="CZU88" s="123"/>
      <c r="CZV88" s="123"/>
      <c r="CZW88" s="123"/>
      <c r="CZX88" s="123"/>
      <c r="CZY88" s="123"/>
      <c r="CZZ88" s="123"/>
      <c r="DAA88" s="123"/>
      <c r="DAB88" s="123"/>
      <c r="DAC88" s="123"/>
      <c r="DAD88" s="123"/>
      <c r="DAE88" s="123"/>
      <c r="DAF88" s="123"/>
      <c r="DAG88" s="123"/>
      <c r="DAH88" s="123"/>
      <c r="DAI88" s="123"/>
      <c r="DAJ88" s="123"/>
      <c r="DAK88" s="123"/>
      <c r="DAL88" s="123"/>
      <c r="DAM88" s="123"/>
      <c r="DAN88" s="123"/>
      <c r="DAO88" s="123"/>
      <c r="DAP88" s="123"/>
      <c r="DAQ88" s="123"/>
      <c r="DAR88" s="123"/>
      <c r="DAS88" s="123"/>
      <c r="DAT88" s="123"/>
      <c r="DAU88" s="123"/>
      <c r="DAV88" s="123"/>
      <c r="DAW88" s="123"/>
      <c r="DAX88" s="123"/>
      <c r="DAY88" s="123"/>
      <c r="DAZ88" s="123"/>
      <c r="DBA88" s="123"/>
      <c r="DBB88" s="123"/>
      <c r="DBC88" s="123"/>
      <c r="DBD88" s="123"/>
      <c r="DBE88" s="123"/>
      <c r="DBF88" s="123"/>
      <c r="DBG88" s="123"/>
      <c r="DBH88" s="123"/>
      <c r="DBI88" s="123"/>
      <c r="DBJ88" s="123"/>
      <c r="DBK88" s="123"/>
      <c r="DBL88" s="123"/>
      <c r="DBM88" s="123"/>
      <c r="DBN88" s="123"/>
      <c r="DBO88" s="123"/>
      <c r="DBP88" s="123"/>
      <c r="DBQ88" s="123"/>
      <c r="DBR88" s="123"/>
      <c r="DBS88" s="123"/>
      <c r="DBT88" s="123"/>
      <c r="DBU88" s="123"/>
      <c r="DBV88" s="123"/>
      <c r="DBW88" s="123"/>
      <c r="DBX88" s="123"/>
      <c r="DBY88" s="123"/>
      <c r="DBZ88" s="123"/>
      <c r="DCA88" s="123"/>
      <c r="DCB88" s="123"/>
      <c r="DCC88" s="123"/>
      <c r="DCD88" s="123"/>
      <c r="DCE88" s="123"/>
      <c r="DCF88" s="123"/>
      <c r="DCG88" s="123"/>
      <c r="DCH88" s="123"/>
      <c r="DCI88" s="123"/>
      <c r="DCJ88" s="123"/>
      <c r="DCK88" s="123"/>
      <c r="DCL88" s="123"/>
      <c r="DCM88" s="123"/>
      <c r="DCN88" s="123"/>
      <c r="DCO88" s="123"/>
      <c r="DCP88" s="123"/>
      <c r="DCQ88" s="123"/>
      <c r="DCR88" s="123"/>
      <c r="DCS88" s="123"/>
      <c r="DCT88" s="123"/>
      <c r="DCU88" s="123"/>
      <c r="DCV88" s="123"/>
      <c r="DCW88" s="123"/>
      <c r="DCX88" s="123"/>
      <c r="DCY88" s="123"/>
      <c r="DCZ88" s="123"/>
      <c r="DDA88" s="123"/>
      <c r="DDB88" s="123"/>
      <c r="DDC88" s="123"/>
      <c r="DDD88" s="123"/>
      <c r="DDE88" s="123"/>
      <c r="DDF88" s="123"/>
      <c r="DDG88" s="123"/>
      <c r="DDH88" s="123"/>
      <c r="DDI88" s="123"/>
      <c r="DDJ88" s="123"/>
      <c r="DDK88" s="123"/>
      <c r="DDL88" s="123"/>
      <c r="DDM88" s="123"/>
      <c r="DDN88" s="123"/>
      <c r="DDO88" s="123"/>
      <c r="DDP88" s="123"/>
      <c r="DDQ88" s="123"/>
      <c r="DDR88" s="123"/>
      <c r="DDS88" s="123"/>
      <c r="DDT88" s="123"/>
      <c r="DDU88" s="123"/>
      <c r="DDV88" s="123"/>
      <c r="DDW88" s="123"/>
      <c r="DDX88" s="123"/>
      <c r="DDY88" s="123"/>
      <c r="DDZ88" s="123"/>
      <c r="DEA88" s="123"/>
      <c r="DEB88" s="123"/>
      <c r="DEC88" s="123"/>
      <c r="DED88" s="123"/>
      <c r="DEE88" s="123"/>
      <c r="DEF88" s="123"/>
      <c r="DEG88" s="123"/>
      <c r="DEH88" s="123"/>
      <c r="DEI88" s="123"/>
      <c r="DEJ88" s="123"/>
      <c r="DEK88" s="123"/>
      <c r="DEL88" s="123"/>
      <c r="DEM88" s="123"/>
      <c r="DEN88" s="123"/>
      <c r="DEO88" s="123"/>
      <c r="DEP88" s="123"/>
      <c r="DEQ88" s="123"/>
      <c r="DER88" s="123"/>
      <c r="DES88" s="123"/>
      <c r="DET88" s="123"/>
      <c r="DEU88" s="123"/>
      <c r="DEV88" s="123"/>
      <c r="DEW88" s="123"/>
      <c r="DEX88" s="123"/>
      <c r="DEY88" s="123"/>
      <c r="DEZ88" s="123"/>
      <c r="DFA88" s="123"/>
      <c r="DFB88" s="123"/>
      <c r="DFC88" s="123"/>
      <c r="DFD88" s="123"/>
      <c r="DFE88" s="123"/>
      <c r="DFF88" s="123"/>
      <c r="DFG88" s="123"/>
      <c r="DFH88" s="123"/>
      <c r="DFI88" s="123"/>
      <c r="DFJ88" s="123"/>
      <c r="DFK88" s="123"/>
      <c r="DFL88" s="123"/>
      <c r="DFM88" s="123"/>
      <c r="DFN88" s="123"/>
      <c r="DFO88" s="123"/>
      <c r="DFP88" s="123"/>
      <c r="DFQ88" s="123"/>
      <c r="DFR88" s="123"/>
      <c r="DFS88" s="123"/>
      <c r="DFT88" s="123"/>
      <c r="DFU88" s="123"/>
      <c r="DFV88" s="123"/>
      <c r="DFW88" s="123"/>
      <c r="DFX88" s="123"/>
      <c r="DFY88" s="123"/>
      <c r="DFZ88" s="123"/>
      <c r="DGA88" s="123"/>
      <c r="DGB88" s="123"/>
      <c r="DGC88" s="123"/>
      <c r="DGD88" s="123"/>
      <c r="DGE88" s="123"/>
      <c r="DGF88" s="123"/>
      <c r="DGG88" s="123"/>
      <c r="DGH88" s="123"/>
      <c r="DGI88" s="123"/>
      <c r="DGJ88" s="123"/>
      <c r="DGK88" s="123"/>
      <c r="DGL88" s="123"/>
      <c r="DGM88" s="123"/>
      <c r="DGN88" s="123"/>
      <c r="DGO88" s="123"/>
      <c r="DGP88" s="123"/>
      <c r="DGQ88" s="123"/>
      <c r="DGR88" s="123"/>
      <c r="DGS88" s="123"/>
      <c r="DGT88" s="123"/>
      <c r="DGU88" s="123"/>
      <c r="DGV88" s="123"/>
      <c r="DGW88" s="123"/>
      <c r="DGX88" s="123"/>
      <c r="DGY88" s="123"/>
      <c r="DGZ88" s="123"/>
      <c r="DHA88" s="123"/>
      <c r="DHB88" s="123"/>
      <c r="DHC88" s="123"/>
      <c r="DHD88" s="123"/>
      <c r="DHE88" s="123"/>
      <c r="DHF88" s="123"/>
      <c r="DHG88" s="123"/>
      <c r="DHH88" s="123"/>
      <c r="DHI88" s="123"/>
      <c r="DHJ88" s="123"/>
      <c r="DHK88" s="123"/>
      <c r="DHL88" s="123"/>
      <c r="DHM88" s="123"/>
      <c r="DHN88" s="123"/>
      <c r="DHO88" s="123"/>
      <c r="DHP88" s="123"/>
      <c r="DHQ88" s="123"/>
      <c r="DHR88" s="123"/>
      <c r="DHS88" s="123"/>
      <c r="DHT88" s="123"/>
      <c r="DHU88" s="123"/>
      <c r="DHV88" s="123"/>
      <c r="DHW88" s="123"/>
      <c r="DHX88" s="123"/>
      <c r="DHY88" s="123"/>
      <c r="DHZ88" s="123"/>
      <c r="DIA88" s="123"/>
      <c r="DIB88" s="123"/>
      <c r="DIC88" s="123"/>
      <c r="DID88" s="123"/>
      <c r="DIE88" s="123"/>
      <c r="DIF88" s="123"/>
      <c r="DIG88" s="123"/>
      <c r="DIH88" s="123"/>
      <c r="DII88" s="123"/>
      <c r="DIJ88" s="123"/>
      <c r="DIK88" s="123"/>
      <c r="DIL88" s="123"/>
      <c r="DIM88" s="123"/>
      <c r="DIN88" s="123"/>
      <c r="DIO88" s="123"/>
      <c r="DIP88" s="123"/>
      <c r="DIQ88" s="123"/>
      <c r="DIR88" s="123"/>
      <c r="DIS88" s="123"/>
      <c r="DIT88" s="123"/>
      <c r="DIU88" s="123"/>
      <c r="DIV88" s="123"/>
      <c r="DIW88" s="123"/>
      <c r="DIX88" s="123"/>
      <c r="DIY88" s="123"/>
      <c r="DIZ88" s="123"/>
      <c r="DJA88" s="123"/>
      <c r="DJB88" s="123"/>
      <c r="DJC88" s="123"/>
      <c r="DJD88" s="123"/>
      <c r="DJE88" s="123"/>
      <c r="DJF88" s="123"/>
      <c r="DJG88" s="123"/>
      <c r="DJH88" s="123"/>
      <c r="DJI88" s="123"/>
      <c r="DJJ88" s="123"/>
      <c r="DJK88" s="123"/>
      <c r="DJL88" s="123"/>
      <c r="DJM88" s="123"/>
      <c r="DJN88" s="123"/>
      <c r="DJO88" s="123"/>
      <c r="DJP88" s="123"/>
      <c r="DJQ88" s="123"/>
      <c r="DJR88" s="123"/>
      <c r="DJS88" s="123"/>
      <c r="DJT88" s="123"/>
      <c r="DJU88" s="123"/>
      <c r="DJV88" s="123"/>
      <c r="DJW88" s="123"/>
      <c r="DJX88" s="123"/>
      <c r="DJY88" s="123"/>
      <c r="DJZ88" s="123"/>
      <c r="DKA88" s="123"/>
      <c r="DKB88" s="123"/>
      <c r="DKC88" s="123"/>
      <c r="DKD88" s="123"/>
      <c r="DKE88" s="123"/>
      <c r="DKF88" s="123"/>
      <c r="DKG88" s="123"/>
      <c r="DKH88" s="123"/>
      <c r="DKI88" s="123"/>
      <c r="DKJ88" s="123"/>
      <c r="DKK88" s="123"/>
      <c r="DKL88" s="123"/>
      <c r="DKM88" s="123"/>
      <c r="DKN88" s="123"/>
      <c r="DKO88" s="123"/>
      <c r="DKP88" s="123"/>
      <c r="DKQ88" s="123"/>
      <c r="DKR88" s="123"/>
      <c r="DKS88" s="123"/>
      <c r="DKT88" s="123"/>
      <c r="DKU88" s="123"/>
      <c r="DKV88" s="123"/>
      <c r="DKW88" s="123"/>
      <c r="DKX88" s="123"/>
      <c r="DKY88" s="123"/>
      <c r="DKZ88" s="123"/>
      <c r="DLA88" s="123"/>
      <c r="DLB88" s="123"/>
      <c r="DLC88" s="123"/>
      <c r="DLD88" s="123"/>
      <c r="DLE88" s="123"/>
      <c r="DLF88" s="123"/>
      <c r="DLG88" s="123"/>
      <c r="DLH88" s="123"/>
      <c r="DLI88" s="123"/>
      <c r="DLJ88" s="123"/>
      <c r="DLK88" s="123"/>
      <c r="DLL88" s="123"/>
      <c r="DLM88" s="123"/>
      <c r="DLN88" s="123"/>
      <c r="DLO88" s="123"/>
      <c r="DLP88" s="123"/>
      <c r="DLQ88" s="123"/>
      <c r="DLR88" s="123"/>
      <c r="DLS88" s="123"/>
      <c r="DLT88" s="123"/>
      <c r="DLU88" s="123"/>
      <c r="DLV88" s="123"/>
      <c r="DLW88" s="123"/>
      <c r="DLX88" s="123"/>
      <c r="DLY88" s="123"/>
      <c r="DLZ88" s="123"/>
      <c r="DMA88" s="123"/>
      <c r="DMB88" s="123"/>
      <c r="DMC88" s="123"/>
      <c r="DMD88" s="123"/>
      <c r="DME88" s="123"/>
      <c r="DMF88" s="123"/>
      <c r="DMG88" s="123"/>
      <c r="DMH88" s="123"/>
      <c r="DMI88" s="123"/>
      <c r="DMJ88" s="123"/>
      <c r="DMK88" s="123"/>
      <c r="DML88" s="123"/>
      <c r="DMM88" s="123"/>
      <c r="DMN88" s="123"/>
      <c r="DMO88" s="123"/>
      <c r="DMP88" s="123"/>
      <c r="DMQ88" s="123"/>
      <c r="DMR88" s="123"/>
      <c r="DMS88" s="123"/>
      <c r="DMT88" s="123"/>
      <c r="DMU88" s="123"/>
      <c r="DMV88" s="123"/>
      <c r="DMW88" s="123"/>
      <c r="DMX88" s="123"/>
      <c r="DMY88" s="123"/>
      <c r="DMZ88" s="123"/>
      <c r="DNA88" s="123"/>
      <c r="DNB88" s="123"/>
      <c r="DNC88" s="123"/>
      <c r="DND88" s="123"/>
      <c r="DNE88" s="123"/>
      <c r="DNF88" s="123"/>
      <c r="DNG88" s="123"/>
      <c r="DNH88" s="123"/>
      <c r="DNI88" s="123"/>
      <c r="DNJ88" s="123"/>
      <c r="DNK88" s="123"/>
      <c r="DNL88" s="123"/>
      <c r="DNM88" s="123"/>
      <c r="DNN88" s="123"/>
      <c r="DNO88" s="123"/>
      <c r="DNP88" s="123"/>
      <c r="DNQ88" s="123"/>
      <c r="DNR88" s="123"/>
      <c r="DNS88" s="123"/>
      <c r="DNT88" s="123"/>
      <c r="DNU88" s="123"/>
      <c r="DNV88" s="123"/>
      <c r="DNW88" s="123"/>
      <c r="DNX88" s="123"/>
      <c r="DNY88" s="123"/>
      <c r="DNZ88" s="123"/>
      <c r="DOA88" s="123"/>
      <c r="DOB88" s="123"/>
      <c r="DOC88" s="123"/>
      <c r="DOD88" s="123"/>
      <c r="DOE88" s="123"/>
      <c r="DOF88" s="123"/>
      <c r="DOG88" s="123"/>
      <c r="DOH88" s="123"/>
      <c r="DOI88" s="123"/>
      <c r="DOJ88" s="123"/>
      <c r="DOK88" s="123"/>
      <c r="DOL88" s="123"/>
      <c r="DOM88" s="123"/>
      <c r="DON88" s="123"/>
      <c r="DOO88" s="123"/>
      <c r="DOP88" s="123"/>
      <c r="DOQ88" s="123"/>
      <c r="DOR88" s="123"/>
      <c r="DOS88" s="123"/>
      <c r="DOT88" s="123"/>
      <c r="DOU88" s="123"/>
      <c r="DOV88" s="123"/>
      <c r="DOW88" s="123"/>
      <c r="DOX88" s="123"/>
      <c r="DOY88" s="123"/>
      <c r="DOZ88" s="123"/>
      <c r="DPA88" s="123"/>
      <c r="DPB88" s="123"/>
      <c r="DPC88" s="123"/>
      <c r="DPD88" s="123"/>
      <c r="DPE88" s="123"/>
      <c r="DPF88" s="123"/>
      <c r="DPG88" s="123"/>
      <c r="DPH88" s="123"/>
      <c r="DPI88" s="123"/>
      <c r="DPJ88" s="123"/>
      <c r="DPK88" s="123"/>
      <c r="DPL88" s="123"/>
      <c r="DPM88" s="123"/>
      <c r="DPN88" s="123"/>
      <c r="DPO88" s="123"/>
      <c r="DPP88" s="123"/>
      <c r="DPQ88" s="123"/>
      <c r="DPR88" s="123"/>
      <c r="DPS88" s="123"/>
      <c r="DPT88" s="123"/>
      <c r="DPU88" s="123"/>
      <c r="DPV88" s="123"/>
      <c r="DPW88" s="123"/>
      <c r="DPX88" s="123"/>
      <c r="DPY88" s="123"/>
      <c r="DPZ88" s="123"/>
      <c r="DQA88" s="123"/>
      <c r="DQB88" s="123"/>
      <c r="DQC88" s="123"/>
      <c r="DQD88" s="123"/>
      <c r="DQE88" s="123"/>
      <c r="DQF88" s="123"/>
      <c r="DQG88" s="123"/>
      <c r="DQH88" s="123"/>
      <c r="DQI88" s="123"/>
      <c r="DQJ88" s="123"/>
      <c r="DQK88" s="123"/>
      <c r="DQL88" s="123"/>
      <c r="DQM88" s="123"/>
      <c r="DQN88" s="123"/>
      <c r="DQO88" s="123"/>
      <c r="DQP88" s="123"/>
      <c r="DQQ88" s="123"/>
      <c r="DQR88" s="123"/>
      <c r="DQS88" s="123"/>
      <c r="DQT88" s="123"/>
      <c r="DQU88" s="123"/>
      <c r="DQV88" s="123"/>
      <c r="DQW88" s="123"/>
      <c r="DQX88" s="123"/>
      <c r="DQY88" s="123"/>
      <c r="DQZ88" s="123"/>
      <c r="DRA88" s="123"/>
      <c r="DRB88" s="123"/>
      <c r="DRC88" s="123"/>
      <c r="DRD88" s="123"/>
      <c r="DRE88" s="123"/>
      <c r="DRF88" s="123"/>
      <c r="DRG88" s="123"/>
      <c r="DRH88" s="123"/>
      <c r="DRI88" s="123"/>
      <c r="DRJ88" s="123"/>
      <c r="DRK88" s="123"/>
      <c r="DRL88" s="123"/>
      <c r="DRM88" s="123"/>
      <c r="DRN88" s="123"/>
      <c r="DRO88" s="123"/>
      <c r="DRP88" s="123"/>
      <c r="DRQ88" s="123"/>
      <c r="DRR88" s="123"/>
      <c r="DRS88" s="123"/>
      <c r="DRT88" s="123"/>
      <c r="DRU88" s="123"/>
      <c r="DRV88" s="123"/>
      <c r="DRW88" s="123"/>
      <c r="DRX88" s="123"/>
      <c r="DRY88" s="123"/>
      <c r="DRZ88" s="123"/>
      <c r="DSA88" s="123"/>
      <c r="DSB88" s="123"/>
      <c r="DSC88" s="123"/>
      <c r="DSD88" s="123"/>
      <c r="DSE88" s="123"/>
      <c r="DSF88" s="123"/>
      <c r="DSG88" s="123"/>
      <c r="DSH88" s="123"/>
      <c r="DSI88" s="123"/>
      <c r="DSJ88" s="123"/>
      <c r="DSK88" s="123"/>
      <c r="DSL88" s="123"/>
      <c r="DSM88" s="123"/>
      <c r="DSN88" s="123"/>
      <c r="DSO88" s="123"/>
      <c r="DSP88" s="123"/>
      <c r="DSQ88" s="123"/>
      <c r="DSR88" s="123"/>
      <c r="DSS88" s="123"/>
      <c r="DST88" s="123"/>
      <c r="DSU88" s="123"/>
      <c r="DSV88" s="123"/>
      <c r="DSW88" s="123"/>
      <c r="DSX88" s="123"/>
      <c r="DSY88" s="123"/>
      <c r="DSZ88" s="123"/>
      <c r="DTA88" s="123"/>
      <c r="DTB88" s="123"/>
      <c r="DTC88" s="123"/>
      <c r="DTD88" s="123"/>
      <c r="DTE88" s="123"/>
      <c r="DTF88" s="123"/>
      <c r="DTG88" s="123"/>
      <c r="DTH88" s="123"/>
      <c r="DTI88" s="123"/>
      <c r="DTJ88" s="123"/>
      <c r="DTK88" s="123"/>
      <c r="DTL88" s="123"/>
      <c r="DTM88" s="123"/>
      <c r="DTN88" s="123"/>
      <c r="DTO88" s="123"/>
      <c r="DTP88" s="123"/>
      <c r="DTQ88" s="123"/>
      <c r="DTR88" s="123"/>
      <c r="DTS88" s="123"/>
      <c r="DTT88" s="123"/>
      <c r="DTU88" s="123"/>
      <c r="DTV88" s="123"/>
      <c r="DTW88" s="123"/>
      <c r="DTX88" s="123"/>
      <c r="DTY88" s="123"/>
      <c r="DTZ88" s="123"/>
      <c r="DUA88" s="123"/>
      <c r="DUB88" s="123"/>
      <c r="DUC88" s="123"/>
      <c r="DUD88" s="123"/>
      <c r="DUE88" s="123"/>
      <c r="DUF88" s="123"/>
      <c r="DUG88" s="123"/>
      <c r="DUH88" s="123"/>
      <c r="DUI88" s="123"/>
      <c r="DUJ88" s="123"/>
      <c r="DUK88" s="123"/>
      <c r="DUL88" s="123"/>
      <c r="DUM88" s="123"/>
      <c r="DUN88" s="123"/>
      <c r="DUO88" s="123"/>
      <c r="DUP88" s="123"/>
      <c r="DUQ88" s="123"/>
      <c r="DUR88" s="123"/>
      <c r="DUS88" s="123"/>
      <c r="DUT88" s="123"/>
      <c r="DUU88" s="123"/>
      <c r="DUV88" s="123"/>
      <c r="DUW88" s="123"/>
      <c r="DUX88" s="123"/>
      <c r="DUY88" s="123"/>
      <c r="DUZ88" s="123"/>
      <c r="DVA88" s="123"/>
      <c r="DVB88" s="123"/>
      <c r="DVC88" s="123"/>
      <c r="DVD88" s="123"/>
      <c r="DVE88" s="123"/>
      <c r="DVF88" s="123"/>
      <c r="DVG88" s="123"/>
      <c r="DVH88" s="123"/>
      <c r="DVI88" s="123"/>
      <c r="DVJ88" s="123"/>
      <c r="DVK88" s="123"/>
      <c r="DVL88" s="123"/>
      <c r="DVM88" s="123"/>
      <c r="DVN88" s="123"/>
      <c r="DVO88" s="123"/>
      <c r="DVP88" s="123"/>
      <c r="DVQ88" s="123"/>
      <c r="DVR88" s="123"/>
      <c r="DVS88" s="123"/>
      <c r="DVT88" s="123"/>
      <c r="DVU88" s="123"/>
      <c r="DVV88" s="123"/>
      <c r="DVW88" s="123"/>
      <c r="DVX88" s="123"/>
      <c r="DVY88" s="123"/>
      <c r="DVZ88" s="123"/>
      <c r="DWA88" s="123"/>
      <c r="DWB88" s="123"/>
      <c r="DWC88" s="123"/>
      <c r="DWD88" s="123"/>
      <c r="DWE88" s="123"/>
      <c r="DWF88" s="123"/>
      <c r="DWG88" s="123"/>
      <c r="DWH88" s="123"/>
      <c r="DWI88" s="123"/>
      <c r="DWJ88" s="123"/>
      <c r="DWK88" s="123"/>
      <c r="DWL88" s="123"/>
      <c r="DWM88" s="123"/>
      <c r="DWN88" s="123"/>
      <c r="DWO88" s="123"/>
      <c r="DWP88" s="123"/>
      <c r="DWQ88" s="123"/>
      <c r="DWR88" s="123"/>
      <c r="DWS88" s="123"/>
      <c r="DWT88" s="123"/>
      <c r="DWU88" s="123"/>
      <c r="DWV88" s="123"/>
      <c r="DWW88" s="123"/>
      <c r="DWX88" s="123"/>
      <c r="DWY88" s="123"/>
      <c r="DWZ88" s="123"/>
      <c r="DXA88" s="123"/>
      <c r="DXB88" s="123"/>
      <c r="DXC88" s="123"/>
      <c r="DXD88" s="123"/>
      <c r="DXE88" s="123"/>
      <c r="DXF88" s="123"/>
      <c r="DXG88" s="123"/>
      <c r="DXH88" s="123"/>
      <c r="DXI88" s="123"/>
      <c r="DXJ88" s="123"/>
      <c r="DXK88" s="123"/>
      <c r="DXL88" s="123"/>
      <c r="DXM88" s="123"/>
      <c r="DXN88" s="123"/>
      <c r="DXO88" s="123"/>
      <c r="DXP88" s="123"/>
      <c r="DXQ88" s="123"/>
      <c r="DXR88" s="123"/>
      <c r="DXS88" s="123"/>
      <c r="DXT88" s="123"/>
      <c r="DXU88" s="123"/>
      <c r="DXV88" s="123"/>
      <c r="DXW88" s="123"/>
      <c r="DXX88" s="123"/>
      <c r="DXY88" s="123"/>
      <c r="DXZ88" s="123"/>
      <c r="DYA88" s="123"/>
      <c r="DYB88" s="123"/>
      <c r="DYC88" s="123"/>
      <c r="DYD88" s="123"/>
      <c r="DYE88" s="123"/>
      <c r="DYF88" s="123"/>
      <c r="DYG88" s="123"/>
      <c r="DYH88" s="123"/>
      <c r="DYI88" s="123"/>
      <c r="DYJ88" s="123"/>
      <c r="DYK88" s="123"/>
      <c r="DYL88" s="123"/>
      <c r="DYM88" s="123"/>
      <c r="DYN88" s="123"/>
      <c r="DYO88" s="123"/>
      <c r="DYP88" s="123"/>
      <c r="DYQ88" s="123"/>
      <c r="DYR88" s="123"/>
      <c r="DYS88" s="123"/>
      <c r="DYT88" s="123"/>
      <c r="DYU88" s="123"/>
      <c r="DYV88" s="123"/>
      <c r="DYW88" s="123"/>
      <c r="DYX88" s="123"/>
      <c r="DYY88" s="123"/>
      <c r="DYZ88" s="123"/>
      <c r="DZA88" s="123"/>
      <c r="DZB88" s="123"/>
      <c r="DZC88" s="123"/>
      <c r="DZD88" s="123"/>
      <c r="DZE88" s="123"/>
      <c r="DZF88" s="123"/>
      <c r="DZG88" s="123"/>
      <c r="DZH88" s="123"/>
      <c r="DZI88" s="123"/>
      <c r="DZJ88" s="123"/>
      <c r="DZK88" s="123"/>
      <c r="DZL88" s="123"/>
      <c r="DZM88" s="123"/>
      <c r="DZN88" s="123"/>
      <c r="DZO88" s="123"/>
      <c r="DZP88" s="123"/>
      <c r="DZQ88" s="123"/>
      <c r="DZR88" s="123"/>
      <c r="DZS88" s="123"/>
      <c r="DZT88" s="123"/>
      <c r="DZU88" s="123"/>
      <c r="DZV88" s="123"/>
      <c r="DZW88" s="123"/>
      <c r="DZX88" s="123"/>
      <c r="DZY88" s="123"/>
      <c r="DZZ88" s="123"/>
      <c r="EAA88" s="123"/>
      <c r="EAB88" s="123"/>
      <c r="EAC88" s="123"/>
      <c r="EAD88" s="123"/>
      <c r="EAE88" s="123"/>
      <c r="EAF88" s="123"/>
      <c r="EAG88" s="123"/>
      <c r="EAH88" s="123"/>
      <c r="EAI88" s="123"/>
      <c r="EAJ88" s="123"/>
      <c r="EAK88" s="123"/>
      <c r="EAL88" s="123"/>
      <c r="EAM88" s="123"/>
      <c r="EAN88" s="123"/>
      <c r="EAO88" s="123"/>
      <c r="EAP88" s="123"/>
      <c r="EAQ88" s="123"/>
      <c r="EAR88" s="123"/>
      <c r="EAS88" s="123"/>
      <c r="EAT88" s="123"/>
      <c r="EAU88" s="123"/>
      <c r="EAV88" s="123"/>
      <c r="EAW88" s="123"/>
      <c r="EAX88" s="123"/>
      <c r="EAY88" s="123"/>
      <c r="EAZ88" s="123"/>
      <c r="EBA88" s="123"/>
      <c r="EBB88" s="123"/>
      <c r="EBC88" s="123"/>
      <c r="EBD88" s="123"/>
      <c r="EBE88" s="123"/>
      <c r="EBF88" s="123"/>
      <c r="EBG88" s="123"/>
      <c r="EBH88" s="123"/>
      <c r="EBI88" s="123"/>
      <c r="EBJ88" s="123"/>
      <c r="EBK88" s="123"/>
      <c r="EBL88" s="123"/>
      <c r="EBM88" s="123"/>
      <c r="EBN88" s="123"/>
      <c r="EBO88" s="123"/>
      <c r="EBP88" s="123"/>
      <c r="EBQ88" s="123"/>
      <c r="EBR88" s="123"/>
      <c r="EBS88" s="123"/>
      <c r="EBT88" s="123"/>
      <c r="EBU88" s="123"/>
      <c r="EBV88" s="123"/>
      <c r="EBW88" s="123"/>
      <c r="EBX88" s="123"/>
      <c r="EBY88" s="123"/>
      <c r="EBZ88" s="123"/>
      <c r="ECA88" s="123"/>
      <c r="ECB88" s="123"/>
      <c r="ECC88" s="123"/>
      <c r="ECD88" s="123"/>
      <c r="ECE88" s="123"/>
      <c r="ECF88" s="123"/>
      <c r="ECG88" s="123"/>
      <c r="ECH88" s="123"/>
      <c r="ECI88" s="123"/>
      <c r="ECJ88" s="123"/>
      <c r="ECK88" s="123"/>
      <c r="ECL88" s="123"/>
      <c r="ECM88" s="123"/>
      <c r="ECN88" s="123"/>
      <c r="ECO88" s="123"/>
      <c r="ECP88" s="123"/>
      <c r="ECQ88" s="123"/>
      <c r="ECR88" s="123"/>
      <c r="ECS88" s="123"/>
      <c r="ECT88" s="123"/>
      <c r="ECU88" s="123"/>
      <c r="ECV88" s="123"/>
      <c r="ECW88" s="123"/>
      <c r="ECX88" s="123"/>
      <c r="ECY88" s="123"/>
      <c r="ECZ88" s="123"/>
      <c r="EDA88" s="123"/>
      <c r="EDB88" s="123"/>
      <c r="EDC88" s="123"/>
      <c r="EDD88" s="123"/>
      <c r="EDE88" s="123"/>
      <c r="EDF88" s="123"/>
      <c r="EDG88" s="123"/>
      <c r="EDH88" s="123"/>
      <c r="EDI88" s="123"/>
      <c r="EDJ88" s="123"/>
      <c r="EDK88" s="123"/>
      <c r="EDL88" s="123"/>
      <c r="EDM88" s="123"/>
      <c r="EDN88" s="123"/>
      <c r="EDO88" s="123"/>
      <c r="EDP88" s="123"/>
      <c r="EDQ88" s="123"/>
      <c r="EDR88" s="123"/>
      <c r="EDS88" s="123"/>
      <c r="EDT88" s="123"/>
      <c r="EDU88" s="123"/>
      <c r="EDV88" s="123"/>
      <c r="EDW88" s="123"/>
      <c r="EDX88" s="123"/>
      <c r="EDY88" s="123"/>
      <c r="EDZ88" s="123"/>
      <c r="EEA88" s="123"/>
      <c r="EEB88" s="123"/>
      <c r="EEC88" s="123"/>
      <c r="EED88" s="123"/>
      <c r="EEE88" s="123"/>
      <c r="EEF88" s="123"/>
      <c r="EEG88" s="123"/>
      <c r="EEH88" s="123"/>
      <c r="EEI88" s="123"/>
      <c r="EEJ88" s="123"/>
      <c r="EEK88" s="123"/>
      <c r="EEL88" s="123"/>
      <c r="EEM88" s="123"/>
      <c r="EEN88" s="123"/>
      <c r="EEO88" s="123"/>
      <c r="EEP88" s="123"/>
      <c r="EEQ88" s="123"/>
      <c r="EER88" s="123"/>
      <c r="EES88" s="123"/>
      <c r="EET88" s="123"/>
      <c r="EEU88" s="123"/>
      <c r="EEV88" s="123"/>
      <c r="EEW88" s="123"/>
      <c r="EEX88" s="123"/>
      <c r="EEY88" s="123"/>
      <c r="EEZ88" s="123"/>
      <c r="EFA88" s="123"/>
      <c r="EFB88" s="123"/>
      <c r="EFC88" s="123"/>
      <c r="EFD88" s="123"/>
      <c r="EFE88" s="123"/>
      <c r="EFF88" s="123"/>
      <c r="EFG88" s="123"/>
      <c r="EFH88" s="123"/>
      <c r="EFI88" s="123"/>
      <c r="EFJ88" s="123"/>
      <c r="EFK88" s="123"/>
      <c r="EFL88" s="123"/>
      <c r="EFM88" s="123"/>
      <c r="EFN88" s="123"/>
      <c r="EFO88" s="123"/>
      <c r="EFP88" s="123"/>
      <c r="EFQ88" s="123"/>
      <c r="EFR88" s="123"/>
      <c r="EFS88" s="123"/>
      <c r="EFT88" s="123"/>
      <c r="EFU88" s="123"/>
      <c r="EFV88" s="123"/>
      <c r="EFW88" s="123"/>
      <c r="EFX88" s="123"/>
      <c r="EFY88" s="123"/>
      <c r="EFZ88" s="123"/>
      <c r="EGA88" s="123"/>
      <c r="EGB88" s="123"/>
      <c r="EGC88" s="123"/>
      <c r="EGD88" s="123"/>
      <c r="EGE88" s="123"/>
      <c r="EGF88" s="123"/>
      <c r="EGG88" s="123"/>
      <c r="EGH88" s="123"/>
      <c r="EGI88" s="123"/>
      <c r="EGJ88" s="123"/>
      <c r="EGK88" s="123"/>
      <c r="EGL88" s="123"/>
      <c r="EGM88" s="123"/>
      <c r="EGN88" s="123"/>
      <c r="EGO88" s="123"/>
      <c r="EGP88" s="123"/>
      <c r="EGQ88" s="123"/>
      <c r="EGR88" s="123"/>
      <c r="EGS88" s="123"/>
      <c r="EGT88" s="123"/>
      <c r="EGU88" s="123"/>
      <c r="EGV88" s="123"/>
      <c r="EGW88" s="123"/>
      <c r="EGX88" s="123"/>
      <c r="EGY88" s="123"/>
      <c r="EGZ88" s="123"/>
      <c r="EHA88" s="123"/>
      <c r="EHB88" s="123"/>
      <c r="EHC88" s="123"/>
      <c r="EHD88" s="123"/>
      <c r="EHE88" s="123"/>
      <c r="EHF88" s="123"/>
      <c r="EHG88" s="123"/>
      <c r="EHH88" s="123"/>
      <c r="EHI88" s="123"/>
      <c r="EHJ88" s="123"/>
      <c r="EHK88" s="123"/>
      <c r="EHL88" s="123"/>
      <c r="EHM88" s="123"/>
      <c r="EHN88" s="123"/>
      <c r="EHO88" s="123"/>
      <c r="EHP88" s="123"/>
      <c r="EHQ88" s="123"/>
      <c r="EHR88" s="123"/>
      <c r="EHS88" s="123"/>
      <c r="EHT88" s="123"/>
      <c r="EHU88" s="123"/>
      <c r="EHV88" s="123"/>
      <c r="EHW88" s="123"/>
      <c r="EHX88" s="123"/>
      <c r="EHY88" s="123"/>
      <c r="EHZ88" s="123"/>
      <c r="EIA88" s="123"/>
      <c r="EIB88" s="123"/>
      <c r="EIC88" s="123"/>
      <c r="EID88" s="123"/>
      <c r="EIE88" s="123"/>
      <c r="EIF88" s="123"/>
      <c r="EIG88" s="123"/>
      <c r="EIH88" s="123"/>
      <c r="EII88" s="123"/>
      <c r="EIJ88" s="123"/>
      <c r="EIK88" s="123"/>
      <c r="EIL88" s="123"/>
      <c r="EIM88" s="123"/>
      <c r="EIN88" s="123"/>
      <c r="EIO88" s="123"/>
      <c r="EIP88" s="123"/>
      <c r="EIQ88" s="123"/>
      <c r="EIR88" s="123"/>
      <c r="EIS88" s="123"/>
      <c r="EIT88" s="123"/>
      <c r="EIU88" s="123"/>
      <c r="EIV88" s="123"/>
      <c r="EIW88" s="123"/>
      <c r="EIX88" s="123"/>
      <c r="EIY88" s="123"/>
      <c r="EIZ88" s="123"/>
      <c r="EJA88" s="123"/>
      <c r="EJB88" s="123"/>
      <c r="EJC88" s="123"/>
      <c r="EJD88" s="123"/>
      <c r="EJE88" s="123"/>
      <c r="EJF88" s="123"/>
      <c r="EJG88" s="123"/>
      <c r="EJH88" s="123"/>
      <c r="EJI88" s="123"/>
      <c r="EJJ88" s="123"/>
      <c r="EJK88" s="123"/>
      <c r="EJL88" s="123"/>
      <c r="EJM88" s="123"/>
      <c r="EJN88" s="123"/>
      <c r="EJO88" s="123"/>
      <c r="EJP88" s="123"/>
      <c r="EJQ88" s="123"/>
      <c r="EJR88" s="123"/>
      <c r="EJS88" s="123"/>
      <c r="EJT88" s="123"/>
      <c r="EJU88" s="123"/>
      <c r="EJV88" s="123"/>
      <c r="EJW88" s="123"/>
      <c r="EJX88" s="123"/>
      <c r="EJY88" s="123"/>
      <c r="EJZ88" s="123"/>
      <c r="EKA88" s="123"/>
      <c r="EKB88" s="123"/>
      <c r="EKC88" s="123"/>
      <c r="EKD88" s="123"/>
      <c r="EKE88" s="123"/>
      <c r="EKF88" s="123"/>
      <c r="EKG88" s="123"/>
      <c r="EKH88" s="123"/>
      <c r="EKI88" s="123"/>
      <c r="EKJ88" s="123"/>
      <c r="EKK88" s="123"/>
      <c r="EKL88" s="123"/>
      <c r="EKM88" s="123"/>
      <c r="EKN88" s="123"/>
      <c r="EKO88" s="123"/>
      <c r="EKP88" s="123"/>
      <c r="EKQ88" s="123"/>
      <c r="EKR88" s="123"/>
      <c r="EKS88" s="123"/>
      <c r="EKT88" s="123"/>
      <c r="EKU88" s="123"/>
      <c r="EKV88" s="123"/>
      <c r="EKW88" s="123"/>
      <c r="EKX88" s="123"/>
      <c r="EKY88" s="123"/>
      <c r="EKZ88" s="123"/>
      <c r="ELA88" s="123"/>
      <c r="ELB88" s="123"/>
      <c r="ELC88" s="123"/>
      <c r="ELD88" s="123"/>
      <c r="ELE88" s="123"/>
      <c r="ELF88" s="123"/>
      <c r="ELG88" s="123"/>
      <c r="ELH88" s="123"/>
      <c r="ELI88" s="123"/>
      <c r="ELJ88" s="123"/>
      <c r="ELK88" s="123"/>
      <c r="ELL88" s="123"/>
      <c r="ELM88" s="123"/>
      <c r="ELN88" s="123"/>
      <c r="ELO88" s="123"/>
      <c r="ELP88" s="123"/>
      <c r="ELQ88" s="123"/>
      <c r="ELR88" s="123"/>
      <c r="ELS88" s="123"/>
      <c r="ELT88" s="123"/>
      <c r="ELU88" s="123"/>
      <c r="ELV88" s="123"/>
      <c r="ELW88" s="123"/>
      <c r="ELX88" s="123"/>
      <c r="ELY88" s="123"/>
      <c r="ELZ88" s="123"/>
      <c r="EMA88" s="123"/>
      <c r="EMB88" s="123"/>
      <c r="EMC88" s="123"/>
      <c r="EMD88" s="123"/>
      <c r="EME88" s="123"/>
      <c r="EMF88" s="123"/>
      <c r="EMG88" s="123"/>
      <c r="EMH88" s="123"/>
      <c r="EMI88" s="123"/>
      <c r="EMJ88" s="123"/>
      <c r="EMK88" s="123"/>
      <c r="EML88" s="123"/>
      <c r="EMM88" s="123"/>
      <c r="EMN88" s="123"/>
      <c r="EMO88" s="123"/>
      <c r="EMP88" s="123"/>
      <c r="EMQ88" s="123"/>
      <c r="EMR88" s="123"/>
      <c r="EMS88" s="123"/>
      <c r="EMT88" s="123"/>
      <c r="EMU88" s="123"/>
      <c r="EMV88" s="123"/>
      <c r="EMW88" s="123"/>
      <c r="EMX88" s="123"/>
      <c r="EMY88" s="123"/>
      <c r="EMZ88" s="123"/>
      <c r="ENA88" s="123"/>
      <c r="ENB88" s="123"/>
      <c r="ENC88" s="123"/>
      <c r="END88" s="123"/>
      <c r="ENE88" s="123"/>
      <c r="ENF88" s="123"/>
      <c r="ENG88" s="123"/>
      <c r="ENH88" s="123"/>
      <c r="ENI88" s="123"/>
      <c r="ENJ88" s="123"/>
      <c r="ENK88" s="123"/>
      <c r="ENL88" s="123"/>
      <c r="ENM88" s="123"/>
      <c r="ENN88" s="123"/>
      <c r="ENO88" s="123"/>
      <c r="ENP88" s="123"/>
      <c r="ENQ88" s="123"/>
      <c r="ENR88" s="123"/>
      <c r="ENS88" s="123"/>
      <c r="ENT88" s="123"/>
      <c r="ENU88" s="123"/>
      <c r="ENV88" s="123"/>
      <c r="ENW88" s="123"/>
      <c r="ENX88" s="123"/>
      <c r="ENY88" s="123"/>
      <c r="ENZ88" s="123"/>
      <c r="EOA88" s="123"/>
      <c r="EOB88" s="123"/>
      <c r="EOC88" s="123"/>
      <c r="EOD88" s="123"/>
      <c r="EOE88" s="123"/>
      <c r="EOF88" s="123"/>
      <c r="EOG88" s="123"/>
      <c r="EOH88" s="123"/>
      <c r="EOI88" s="123"/>
      <c r="EOJ88" s="123"/>
      <c r="EOK88" s="123"/>
      <c r="EOL88" s="123"/>
      <c r="EOM88" s="123"/>
      <c r="EON88" s="123"/>
      <c r="EOO88" s="123"/>
      <c r="EOP88" s="123"/>
      <c r="EOQ88" s="123"/>
      <c r="EOR88" s="123"/>
      <c r="EOS88" s="123"/>
      <c r="EOT88" s="123"/>
      <c r="EOU88" s="123"/>
      <c r="EOV88" s="123"/>
      <c r="EOW88" s="123"/>
      <c r="EOX88" s="123"/>
      <c r="EOY88" s="123"/>
      <c r="EOZ88" s="123"/>
      <c r="EPA88" s="123"/>
      <c r="EPB88" s="123"/>
      <c r="EPC88" s="123"/>
      <c r="EPD88" s="123"/>
      <c r="EPE88" s="123"/>
      <c r="EPF88" s="123"/>
      <c r="EPG88" s="123"/>
      <c r="EPH88" s="123"/>
      <c r="EPI88" s="123"/>
      <c r="EPJ88" s="123"/>
      <c r="EPK88" s="123"/>
      <c r="EPL88" s="123"/>
      <c r="EPM88" s="123"/>
      <c r="EPN88" s="123"/>
      <c r="EPO88" s="123"/>
      <c r="EPP88" s="123"/>
      <c r="EPQ88" s="123"/>
      <c r="EPR88" s="123"/>
      <c r="EPS88" s="123"/>
      <c r="EPT88" s="123"/>
      <c r="EPU88" s="123"/>
      <c r="EPV88" s="123"/>
      <c r="EPW88" s="123"/>
      <c r="EPX88" s="123"/>
      <c r="EPY88" s="123"/>
      <c r="EPZ88" s="123"/>
      <c r="EQA88" s="123"/>
      <c r="EQB88" s="123"/>
      <c r="EQC88" s="123"/>
      <c r="EQD88" s="123"/>
      <c r="EQE88" s="123"/>
      <c r="EQF88" s="123"/>
      <c r="EQG88" s="123"/>
      <c r="EQH88" s="123"/>
      <c r="EQI88" s="123"/>
      <c r="EQJ88" s="123"/>
      <c r="EQK88" s="123"/>
      <c r="EQL88" s="123"/>
      <c r="EQM88" s="123"/>
      <c r="EQN88" s="123"/>
      <c r="EQO88" s="123"/>
      <c r="EQP88" s="123"/>
      <c r="EQQ88" s="123"/>
      <c r="EQR88" s="123"/>
      <c r="EQS88" s="123"/>
      <c r="EQT88" s="123"/>
      <c r="EQU88" s="123"/>
      <c r="EQV88" s="123"/>
      <c r="EQW88" s="123"/>
      <c r="EQX88" s="123"/>
      <c r="EQY88" s="123"/>
      <c r="EQZ88" s="123"/>
      <c r="ERA88" s="123"/>
      <c r="ERB88" s="123"/>
      <c r="ERC88" s="123"/>
      <c r="ERD88" s="123"/>
      <c r="ERE88" s="123"/>
      <c r="ERF88" s="123"/>
      <c r="ERG88" s="123"/>
      <c r="ERH88" s="123"/>
      <c r="ERI88" s="123"/>
      <c r="ERJ88" s="123"/>
      <c r="ERK88" s="123"/>
      <c r="ERL88" s="123"/>
      <c r="ERM88" s="123"/>
      <c r="ERN88" s="123"/>
      <c r="ERO88" s="123"/>
      <c r="ERP88" s="123"/>
      <c r="ERQ88" s="123"/>
      <c r="ERR88" s="123"/>
      <c r="ERS88" s="123"/>
      <c r="ERT88" s="123"/>
      <c r="ERU88" s="123"/>
      <c r="ERV88" s="123"/>
      <c r="ERW88" s="123"/>
      <c r="ERX88" s="123"/>
      <c r="ERY88" s="123"/>
      <c r="ERZ88" s="123"/>
      <c r="ESA88" s="123"/>
      <c r="ESB88" s="123"/>
      <c r="ESC88" s="123"/>
      <c r="ESD88" s="123"/>
      <c r="ESE88" s="123"/>
      <c r="ESF88" s="123"/>
      <c r="ESG88" s="123"/>
      <c r="ESH88" s="123"/>
      <c r="ESI88" s="123"/>
      <c r="ESJ88" s="123"/>
      <c r="ESK88" s="123"/>
      <c r="ESL88" s="123"/>
      <c r="ESM88" s="123"/>
      <c r="ESN88" s="123"/>
      <c r="ESO88" s="123"/>
      <c r="ESP88" s="123"/>
      <c r="ESQ88" s="123"/>
      <c r="ESR88" s="123"/>
      <c r="ESS88" s="123"/>
      <c r="EST88" s="123"/>
      <c r="ESU88" s="123"/>
      <c r="ESV88" s="123"/>
      <c r="ESW88" s="123"/>
      <c r="ESX88" s="123"/>
      <c r="ESY88" s="123"/>
      <c r="ESZ88" s="123"/>
      <c r="ETA88" s="123"/>
      <c r="ETB88" s="123"/>
      <c r="ETC88" s="123"/>
      <c r="ETD88" s="123"/>
      <c r="ETE88" s="123"/>
      <c r="ETF88" s="123"/>
      <c r="ETG88" s="123"/>
      <c r="ETH88" s="123"/>
      <c r="ETI88" s="123"/>
      <c r="ETJ88" s="123"/>
      <c r="ETK88" s="123"/>
      <c r="ETL88" s="123"/>
      <c r="ETM88" s="123"/>
      <c r="ETN88" s="123"/>
      <c r="ETO88" s="123"/>
      <c r="ETP88" s="123"/>
      <c r="ETQ88" s="123"/>
      <c r="ETR88" s="123"/>
      <c r="ETS88" s="123"/>
      <c r="ETT88" s="123"/>
      <c r="ETU88" s="123"/>
      <c r="ETV88" s="123"/>
      <c r="ETW88" s="123"/>
      <c r="ETX88" s="123"/>
      <c r="ETY88" s="123"/>
      <c r="ETZ88" s="123"/>
      <c r="EUA88" s="123"/>
      <c r="EUB88" s="123"/>
      <c r="EUC88" s="123"/>
      <c r="EUD88" s="123"/>
      <c r="EUE88" s="123"/>
      <c r="EUF88" s="123"/>
      <c r="EUG88" s="123"/>
      <c r="EUH88" s="123"/>
      <c r="EUI88" s="123"/>
      <c r="EUJ88" s="123"/>
      <c r="EUK88" s="123"/>
      <c r="EUL88" s="123"/>
      <c r="EUM88" s="123"/>
      <c r="EUN88" s="123"/>
      <c r="EUO88" s="123"/>
      <c r="EUP88" s="123"/>
      <c r="EUQ88" s="123"/>
      <c r="EUR88" s="123"/>
      <c r="EUS88" s="123"/>
      <c r="EUT88" s="123"/>
      <c r="EUU88" s="123"/>
      <c r="EUV88" s="123"/>
      <c r="EUW88" s="123"/>
      <c r="EUX88" s="123"/>
      <c r="EUY88" s="123"/>
      <c r="EUZ88" s="123"/>
      <c r="EVA88" s="123"/>
      <c r="EVB88" s="123"/>
      <c r="EVC88" s="123"/>
      <c r="EVD88" s="123"/>
      <c r="EVE88" s="123"/>
      <c r="EVF88" s="123"/>
      <c r="EVG88" s="123"/>
      <c r="EVH88" s="123"/>
      <c r="EVI88" s="123"/>
      <c r="EVJ88" s="123"/>
      <c r="EVK88" s="123"/>
      <c r="EVL88" s="123"/>
      <c r="EVM88" s="123"/>
      <c r="EVN88" s="123"/>
      <c r="EVO88" s="123"/>
      <c r="EVP88" s="123"/>
      <c r="EVQ88" s="123"/>
      <c r="EVR88" s="123"/>
      <c r="EVS88" s="123"/>
      <c r="EVT88" s="123"/>
      <c r="EVU88" s="123"/>
      <c r="EVV88" s="123"/>
      <c r="EVW88" s="123"/>
      <c r="EVX88" s="123"/>
      <c r="EVY88" s="123"/>
      <c r="EVZ88" s="123"/>
      <c r="EWA88" s="123"/>
      <c r="EWB88" s="123"/>
      <c r="EWC88" s="123"/>
      <c r="EWD88" s="123"/>
      <c r="EWE88" s="123"/>
      <c r="EWF88" s="123"/>
      <c r="EWG88" s="123"/>
      <c r="EWH88" s="123"/>
      <c r="EWI88" s="123"/>
      <c r="EWJ88" s="123"/>
      <c r="EWK88" s="123"/>
      <c r="EWL88" s="123"/>
      <c r="EWM88" s="123"/>
      <c r="EWN88" s="123"/>
      <c r="EWO88" s="123"/>
      <c r="EWP88" s="123"/>
      <c r="EWQ88" s="123"/>
      <c r="EWR88" s="123"/>
      <c r="EWS88" s="123"/>
      <c r="EWT88" s="123"/>
      <c r="EWU88" s="123"/>
      <c r="EWV88" s="123"/>
      <c r="EWW88" s="123"/>
      <c r="EWX88" s="123"/>
      <c r="EWY88" s="123"/>
      <c r="EWZ88" s="123"/>
      <c r="EXA88" s="123"/>
      <c r="EXB88" s="123"/>
      <c r="EXC88" s="123"/>
      <c r="EXD88" s="123"/>
      <c r="EXE88" s="123"/>
      <c r="EXF88" s="123"/>
      <c r="EXG88" s="123"/>
      <c r="EXH88" s="123"/>
      <c r="EXI88" s="123"/>
      <c r="EXJ88" s="123"/>
      <c r="EXK88" s="123"/>
      <c r="EXL88" s="123"/>
      <c r="EXM88" s="123"/>
      <c r="EXN88" s="123"/>
      <c r="EXO88" s="123"/>
      <c r="EXP88" s="123"/>
      <c r="EXQ88" s="123"/>
      <c r="EXR88" s="123"/>
      <c r="EXS88" s="123"/>
      <c r="EXT88" s="123"/>
      <c r="EXU88" s="123"/>
      <c r="EXV88" s="123"/>
      <c r="EXW88" s="123"/>
      <c r="EXX88" s="123"/>
      <c r="EXY88" s="123"/>
      <c r="EXZ88" s="123"/>
      <c r="EYA88" s="123"/>
      <c r="EYB88" s="123"/>
      <c r="EYC88" s="123"/>
      <c r="EYD88" s="123"/>
      <c r="EYE88" s="123"/>
      <c r="EYF88" s="123"/>
      <c r="EYG88" s="123"/>
      <c r="EYH88" s="123"/>
      <c r="EYI88" s="123"/>
      <c r="EYJ88" s="123"/>
      <c r="EYK88" s="123"/>
      <c r="EYL88" s="123"/>
      <c r="EYM88" s="123"/>
      <c r="EYN88" s="123"/>
      <c r="EYO88" s="123"/>
      <c r="EYP88" s="123"/>
      <c r="EYQ88" s="123"/>
      <c r="EYR88" s="123"/>
      <c r="EYS88" s="123"/>
      <c r="EYT88" s="123"/>
      <c r="EYU88" s="123"/>
      <c r="EYV88" s="123"/>
      <c r="EYW88" s="123"/>
      <c r="EYX88" s="123"/>
      <c r="EYY88" s="123"/>
      <c r="EYZ88" s="123"/>
      <c r="EZA88" s="123"/>
      <c r="EZB88" s="123"/>
      <c r="EZC88" s="123"/>
      <c r="EZD88" s="123"/>
      <c r="EZE88" s="123"/>
      <c r="EZF88" s="123"/>
      <c r="EZG88" s="123"/>
      <c r="EZH88" s="123"/>
      <c r="EZI88" s="123"/>
      <c r="EZJ88" s="123"/>
      <c r="EZK88" s="123"/>
      <c r="EZL88" s="123"/>
      <c r="EZM88" s="123"/>
      <c r="EZN88" s="123"/>
      <c r="EZO88" s="123"/>
      <c r="EZP88" s="123"/>
      <c r="EZQ88" s="123"/>
      <c r="EZR88" s="123"/>
      <c r="EZS88" s="123"/>
      <c r="EZT88" s="123"/>
      <c r="EZU88" s="123"/>
      <c r="EZV88" s="123"/>
      <c r="EZW88" s="123"/>
      <c r="EZX88" s="123"/>
      <c r="EZY88" s="123"/>
      <c r="EZZ88" s="123"/>
      <c r="FAA88" s="123"/>
      <c r="FAB88" s="123"/>
      <c r="FAC88" s="123"/>
      <c r="FAD88" s="123"/>
      <c r="FAE88" s="123"/>
      <c r="FAF88" s="123"/>
      <c r="FAG88" s="123"/>
      <c r="FAH88" s="123"/>
      <c r="FAI88" s="123"/>
      <c r="FAJ88" s="123"/>
      <c r="FAK88" s="123"/>
      <c r="FAL88" s="123"/>
      <c r="FAM88" s="123"/>
      <c r="FAN88" s="123"/>
      <c r="FAO88" s="123"/>
      <c r="FAP88" s="123"/>
      <c r="FAQ88" s="123"/>
      <c r="FAR88" s="123"/>
      <c r="FAS88" s="123"/>
      <c r="FAT88" s="123"/>
      <c r="FAU88" s="123"/>
      <c r="FAV88" s="123"/>
      <c r="FAW88" s="123"/>
      <c r="FAX88" s="123"/>
      <c r="FAY88" s="123"/>
      <c r="FAZ88" s="123"/>
      <c r="FBA88" s="123"/>
      <c r="FBB88" s="123"/>
      <c r="FBC88" s="123"/>
      <c r="FBD88" s="123"/>
      <c r="FBE88" s="123"/>
      <c r="FBF88" s="123"/>
      <c r="FBG88" s="123"/>
      <c r="FBH88" s="123"/>
      <c r="FBI88" s="123"/>
      <c r="FBJ88" s="123"/>
      <c r="FBK88" s="123"/>
      <c r="FBL88" s="123"/>
      <c r="FBM88" s="123"/>
      <c r="FBN88" s="123"/>
      <c r="FBO88" s="123"/>
      <c r="FBP88" s="123"/>
      <c r="FBQ88" s="123"/>
      <c r="FBR88" s="123"/>
      <c r="FBS88" s="123"/>
      <c r="FBT88" s="123"/>
      <c r="FBU88" s="123"/>
      <c r="FBV88" s="123"/>
      <c r="FBW88" s="123"/>
      <c r="FBX88" s="123"/>
      <c r="FBY88" s="123"/>
      <c r="FBZ88" s="123"/>
      <c r="FCA88" s="123"/>
      <c r="FCB88" s="123"/>
      <c r="FCC88" s="123"/>
      <c r="FCD88" s="123"/>
      <c r="FCE88" s="123"/>
      <c r="FCF88" s="123"/>
      <c r="FCG88" s="123"/>
      <c r="FCH88" s="123"/>
      <c r="FCI88" s="123"/>
      <c r="FCJ88" s="123"/>
      <c r="FCK88" s="123"/>
      <c r="FCL88" s="123"/>
      <c r="FCM88" s="123"/>
      <c r="FCN88" s="123"/>
      <c r="FCO88" s="123"/>
      <c r="FCP88" s="123"/>
      <c r="FCQ88" s="123"/>
      <c r="FCR88" s="123"/>
      <c r="FCS88" s="123"/>
      <c r="FCT88" s="123"/>
      <c r="FCU88" s="123"/>
      <c r="FCV88" s="123"/>
      <c r="FCW88" s="123"/>
      <c r="FCX88" s="123"/>
      <c r="FCY88" s="123"/>
      <c r="FCZ88" s="123"/>
      <c r="FDA88" s="123"/>
      <c r="FDB88" s="123"/>
      <c r="FDC88" s="123"/>
      <c r="FDD88" s="123"/>
      <c r="FDE88" s="123"/>
      <c r="FDF88" s="123"/>
      <c r="FDG88" s="123"/>
      <c r="FDH88" s="123"/>
      <c r="FDI88" s="123"/>
      <c r="FDJ88" s="123"/>
      <c r="FDK88" s="123"/>
      <c r="FDL88" s="123"/>
      <c r="FDM88" s="123"/>
      <c r="FDN88" s="123"/>
      <c r="FDO88" s="123"/>
      <c r="FDP88" s="123"/>
      <c r="FDQ88" s="123"/>
      <c r="FDR88" s="123"/>
      <c r="FDS88" s="123"/>
      <c r="FDT88" s="123"/>
      <c r="FDU88" s="123"/>
      <c r="FDV88" s="123"/>
      <c r="FDW88" s="123"/>
      <c r="FDX88" s="123"/>
      <c r="FDY88" s="123"/>
      <c r="FDZ88" s="123"/>
      <c r="FEA88" s="123"/>
      <c r="FEB88" s="123"/>
      <c r="FEC88" s="123"/>
      <c r="FED88" s="123"/>
      <c r="FEE88" s="123"/>
      <c r="FEF88" s="123"/>
      <c r="FEG88" s="123"/>
      <c r="FEH88" s="123"/>
      <c r="FEI88" s="123"/>
      <c r="FEJ88" s="123"/>
      <c r="FEK88" s="123"/>
      <c r="FEL88" s="123"/>
      <c r="FEM88" s="123"/>
      <c r="FEN88" s="123"/>
      <c r="FEO88" s="123"/>
      <c r="FEP88" s="123"/>
      <c r="FEQ88" s="123"/>
      <c r="FER88" s="123"/>
      <c r="FES88" s="123"/>
      <c r="FET88" s="123"/>
      <c r="FEU88" s="123"/>
      <c r="FEV88" s="123"/>
      <c r="FEW88" s="123"/>
      <c r="FEX88" s="123"/>
      <c r="FEY88" s="123"/>
      <c r="FEZ88" s="123"/>
      <c r="FFA88" s="123"/>
      <c r="FFB88" s="123"/>
      <c r="FFC88" s="123"/>
      <c r="FFD88" s="123"/>
      <c r="FFE88" s="123"/>
      <c r="FFF88" s="123"/>
      <c r="FFG88" s="123"/>
      <c r="FFH88" s="123"/>
      <c r="FFI88" s="123"/>
      <c r="FFJ88" s="123"/>
      <c r="FFK88" s="123"/>
      <c r="FFL88" s="123"/>
      <c r="FFM88" s="123"/>
      <c r="FFN88" s="123"/>
      <c r="FFO88" s="123"/>
      <c r="FFP88" s="123"/>
      <c r="FFQ88" s="123"/>
      <c r="FFR88" s="123"/>
      <c r="FFS88" s="123"/>
      <c r="FFT88" s="123"/>
      <c r="FFU88" s="123"/>
      <c r="FFV88" s="123"/>
      <c r="FFW88" s="123"/>
      <c r="FFX88" s="123"/>
      <c r="FFY88" s="123"/>
      <c r="FFZ88" s="123"/>
      <c r="FGA88" s="123"/>
      <c r="FGB88" s="123"/>
      <c r="FGC88" s="123"/>
      <c r="FGD88" s="123"/>
      <c r="FGE88" s="123"/>
      <c r="FGF88" s="123"/>
      <c r="FGG88" s="123"/>
      <c r="FGH88" s="123"/>
      <c r="FGI88" s="123"/>
      <c r="FGJ88" s="123"/>
      <c r="FGK88" s="123"/>
      <c r="FGL88" s="123"/>
      <c r="FGM88" s="123"/>
      <c r="FGN88" s="123"/>
      <c r="FGO88" s="123"/>
      <c r="FGP88" s="123"/>
      <c r="FGQ88" s="123"/>
      <c r="FGR88" s="123"/>
      <c r="FGS88" s="123"/>
      <c r="FGT88" s="123"/>
      <c r="FGU88" s="123"/>
      <c r="FGV88" s="123"/>
      <c r="FGW88" s="123"/>
      <c r="FGX88" s="123"/>
      <c r="FGY88" s="123"/>
      <c r="FGZ88" s="123"/>
      <c r="FHA88" s="123"/>
      <c r="FHB88" s="123"/>
      <c r="FHC88" s="123"/>
      <c r="FHD88" s="123"/>
      <c r="FHE88" s="123"/>
      <c r="FHF88" s="123"/>
      <c r="FHG88" s="123"/>
      <c r="FHH88" s="123"/>
      <c r="FHI88" s="123"/>
      <c r="FHJ88" s="123"/>
      <c r="FHK88" s="123"/>
      <c r="FHL88" s="123"/>
      <c r="FHM88" s="123"/>
      <c r="FHN88" s="123"/>
      <c r="FHO88" s="123"/>
      <c r="FHP88" s="123"/>
      <c r="FHQ88" s="123"/>
      <c r="FHR88" s="123"/>
      <c r="FHS88" s="123"/>
      <c r="FHT88" s="123"/>
      <c r="FHU88" s="123"/>
      <c r="FHV88" s="123"/>
      <c r="FHW88" s="123"/>
      <c r="FHX88" s="123"/>
      <c r="FHY88" s="123"/>
      <c r="FHZ88" s="123"/>
      <c r="FIA88" s="123"/>
      <c r="FIB88" s="123"/>
      <c r="FIC88" s="123"/>
      <c r="FID88" s="123"/>
      <c r="FIE88" s="123"/>
      <c r="FIF88" s="123"/>
      <c r="FIG88" s="123"/>
      <c r="FIH88" s="123"/>
      <c r="FII88" s="123"/>
      <c r="FIJ88" s="123"/>
      <c r="FIK88" s="123"/>
      <c r="FIL88" s="123"/>
      <c r="FIM88" s="123"/>
      <c r="FIN88" s="123"/>
      <c r="FIO88" s="123"/>
      <c r="FIP88" s="123"/>
      <c r="FIQ88" s="123"/>
      <c r="FIR88" s="123"/>
      <c r="FIS88" s="123"/>
      <c r="FIT88" s="123"/>
      <c r="FIU88" s="123"/>
      <c r="FIV88" s="123"/>
      <c r="FIW88" s="123"/>
      <c r="FIX88" s="123"/>
      <c r="FIY88" s="123"/>
      <c r="FIZ88" s="123"/>
      <c r="FJA88" s="123"/>
      <c r="FJB88" s="123"/>
      <c r="FJC88" s="123"/>
      <c r="FJD88" s="123"/>
      <c r="FJE88" s="123"/>
      <c r="FJF88" s="123"/>
      <c r="FJG88" s="123"/>
      <c r="FJH88" s="123"/>
      <c r="FJI88" s="123"/>
      <c r="FJJ88" s="123"/>
      <c r="FJK88" s="123"/>
      <c r="FJL88" s="123"/>
      <c r="FJM88" s="123"/>
      <c r="FJN88" s="123"/>
      <c r="FJO88" s="123"/>
      <c r="FJP88" s="123"/>
      <c r="FJQ88" s="123"/>
      <c r="FJR88" s="123"/>
      <c r="FJS88" s="123"/>
      <c r="FJT88" s="123"/>
      <c r="FJU88" s="123"/>
      <c r="FJV88" s="123"/>
      <c r="FJW88" s="123"/>
      <c r="FJX88" s="123"/>
      <c r="FJY88" s="123"/>
      <c r="FJZ88" s="123"/>
      <c r="FKA88" s="123"/>
      <c r="FKB88" s="123"/>
      <c r="FKC88" s="123"/>
      <c r="FKD88" s="123"/>
      <c r="FKE88" s="123"/>
      <c r="FKF88" s="123"/>
      <c r="FKG88" s="123"/>
      <c r="FKH88" s="123"/>
      <c r="FKI88" s="123"/>
      <c r="FKJ88" s="123"/>
      <c r="FKK88" s="123"/>
      <c r="FKL88" s="123"/>
      <c r="FKM88" s="123"/>
      <c r="FKN88" s="123"/>
      <c r="FKO88" s="123"/>
      <c r="FKP88" s="123"/>
      <c r="FKQ88" s="123"/>
      <c r="FKR88" s="123"/>
      <c r="FKS88" s="123"/>
      <c r="FKT88" s="123"/>
      <c r="FKU88" s="123"/>
      <c r="FKV88" s="123"/>
      <c r="FKW88" s="123"/>
      <c r="FKX88" s="123"/>
      <c r="FKY88" s="123"/>
      <c r="FKZ88" s="123"/>
      <c r="FLA88" s="123"/>
      <c r="FLB88" s="123"/>
      <c r="FLC88" s="123"/>
      <c r="FLD88" s="123"/>
      <c r="FLE88" s="123"/>
      <c r="FLF88" s="123"/>
      <c r="FLG88" s="123"/>
      <c r="FLH88" s="123"/>
      <c r="FLI88" s="123"/>
      <c r="FLJ88" s="123"/>
      <c r="FLK88" s="123"/>
      <c r="FLL88" s="123"/>
      <c r="FLM88" s="123"/>
      <c r="FLN88" s="123"/>
      <c r="FLO88" s="123"/>
      <c r="FLP88" s="123"/>
      <c r="FLQ88" s="123"/>
      <c r="FLR88" s="123"/>
      <c r="FLS88" s="123"/>
      <c r="FLT88" s="123"/>
      <c r="FLU88" s="123"/>
      <c r="FLV88" s="123"/>
      <c r="FLW88" s="123"/>
      <c r="FLX88" s="123"/>
      <c r="FLY88" s="123"/>
      <c r="FLZ88" s="123"/>
      <c r="FMA88" s="123"/>
      <c r="FMB88" s="123"/>
      <c r="FMC88" s="123"/>
      <c r="FMD88" s="123"/>
      <c r="FME88" s="123"/>
      <c r="FMF88" s="123"/>
      <c r="FMG88" s="123"/>
      <c r="FMH88" s="123"/>
      <c r="FMI88" s="123"/>
      <c r="FMJ88" s="123"/>
      <c r="FMK88" s="123"/>
      <c r="FML88" s="123"/>
      <c r="FMM88" s="123"/>
      <c r="FMN88" s="123"/>
      <c r="FMO88" s="123"/>
      <c r="FMP88" s="123"/>
      <c r="FMQ88" s="123"/>
      <c r="FMR88" s="123"/>
      <c r="FMS88" s="123"/>
      <c r="FMT88" s="123"/>
      <c r="FMU88" s="123"/>
      <c r="FMV88" s="123"/>
      <c r="FMW88" s="123"/>
      <c r="FMX88" s="123"/>
      <c r="FMY88" s="123"/>
      <c r="FMZ88" s="123"/>
      <c r="FNA88" s="123"/>
      <c r="FNB88" s="123"/>
      <c r="FNC88" s="123"/>
      <c r="FND88" s="123"/>
      <c r="FNE88" s="123"/>
      <c r="FNF88" s="123"/>
      <c r="FNG88" s="123"/>
      <c r="FNH88" s="123"/>
      <c r="FNI88" s="123"/>
      <c r="FNJ88" s="123"/>
      <c r="FNK88" s="123"/>
      <c r="FNL88" s="123"/>
      <c r="FNM88" s="123"/>
      <c r="FNN88" s="123"/>
      <c r="FNO88" s="123"/>
      <c r="FNP88" s="123"/>
      <c r="FNQ88" s="123"/>
      <c r="FNR88" s="123"/>
      <c r="FNS88" s="123"/>
      <c r="FNT88" s="123"/>
      <c r="FNU88" s="123"/>
      <c r="FNV88" s="123"/>
      <c r="FNW88" s="123"/>
      <c r="FNX88" s="123"/>
      <c r="FNY88" s="123"/>
      <c r="FNZ88" s="123"/>
      <c r="FOA88" s="123"/>
      <c r="FOB88" s="123"/>
      <c r="FOC88" s="123"/>
      <c r="FOD88" s="123"/>
      <c r="FOE88" s="123"/>
      <c r="FOF88" s="123"/>
      <c r="FOG88" s="123"/>
      <c r="FOH88" s="123"/>
      <c r="FOI88" s="123"/>
      <c r="FOJ88" s="123"/>
      <c r="FOK88" s="123"/>
      <c r="FOL88" s="123"/>
      <c r="FOM88" s="123"/>
      <c r="FON88" s="123"/>
      <c r="FOO88" s="123"/>
      <c r="FOP88" s="123"/>
      <c r="FOQ88" s="123"/>
      <c r="FOR88" s="123"/>
      <c r="FOS88" s="123"/>
      <c r="FOT88" s="123"/>
      <c r="FOU88" s="123"/>
      <c r="FOV88" s="123"/>
      <c r="FOW88" s="123"/>
      <c r="FOX88" s="123"/>
      <c r="FOY88" s="123"/>
      <c r="FOZ88" s="123"/>
      <c r="FPA88" s="123"/>
      <c r="FPB88" s="123"/>
      <c r="FPC88" s="123"/>
      <c r="FPD88" s="123"/>
      <c r="FPE88" s="123"/>
      <c r="FPF88" s="123"/>
      <c r="FPG88" s="123"/>
      <c r="FPH88" s="123"/>
      <c r="FPI88" s="123"/>
      <c r="FPJ88" s="123"/>
      <c r="FPK88" s="123"/>
      <c r="FPL88" s="123"/>
      <c r="FPM88" s="123"/>
      <c r="FPN88" s="123"/>
      <c r="FPO88" s="123"/>
      <c r="FPP88" s="123"/>
      <c r="FPQ88" s="123"/>
      <c r="FPR88" s="123"/>
      <c r="FPS88" s="123"/>
      <c r="FPT88" s="123"/>
      <c r="FPU88" s="123"/>
      <c r="FPV88" s="123"/>
      <c r="FPW88" s="123"/>
      <c r="FPX88" s="123"/>
      <c r="FPY88" s="123"/>
      <c r="FPZ88" s="123"/>
      <c r="FQA88" s="123"/>
      <c r="FQB88" s="123"/>
      <c r="FQC88" s="123"/>
      <c r="FQD88" s="123"/>
      <c r="FQE88" s="123"/>
      <c r="FQF88" s="123"/>
      <c r="FQG88" s="123"/>
      <c r="FQH88" s="123"/>
      <c r="FQI88" s="123"/>
      <c r="FQJ88" s="123"/>
      <c r="FQK88" s="123"/>
      <c r="FQL88" s="123"/>
      <c r="FQM88" s="123"/>
      <c r="FQN88" s="123"/>
      <c r="FQO88" s="123"/>
      <c r="FQP88" s="123"/>
      <c r="FQQ88" s="123"/>
      <c r="FQR88" s="123"/>
      <c r="FQS88" s="123"/>
      <c r="FQT88" s="123"/>
      <c r="FQU88" s="123"/>
      <c r="FQV88" s="123"/>
      <c r="FQW88" s="123"/>
      <c r="FQX88" s="123"/>
      <c r="FQY88" s="123"/>
      <c r="FQZ88" s="123"/>
      <c r="FRA88" s="123"/>
      <c r="FRB88" s="123"/>
      <c r="FRC88" s="123"/>
      <c r="FRD88" s="123"/>
      <c r="FRE88" s="123"/>
      <c r="FRF88" s="123"/>
      <c r="FRG88" s="123"/>
      <c r="FRH88" s="123"/>
      <c r="FRI88" s="123"/>
      <c r="FRJ88" s="123"/>
      <c r="FRK88" s="123"/>
      <c r="FRL88" s="123"/>
      <c r="FRM88" s="123"/>
      <c r="FRN88" s="123"/>
      <c r="FRO88" s="123"/>
      <c r="FRP88" s="123"/>
      <c r="FRQ88" s="123"/>
      <c r="FRR88" s="123"/>
      <c r="FRS88" s="123"/>
      <c r="FRT88" s="123"/>
      <c r="FRU88" s="123"/>
      <c r="FRV88" s="123"/>
      <c r="FRW88" s="123"/>
      <c r="FRX88" s="123"/>
      <c r="FRY88" s="123"/>
      <c r="FRZ88" s="123"/>
      <c r="FSA88" s="123"/>
      <c r="FSB88" s="123"/>
      <c r="FSC88" s="123"/>
      <c r="FSD88" s="123"/>
      <c r="FSE88" s="123"/>
      <c r="FSF88" s="123"/>
      <c r="FSG88" s="123"/>
      <c r="FSH88" s="123"/>
      <c r="FSI88" s="123"/>
      <c r="FSJ88" s="123"/>
      <c r="FSK88" s="123"/>
      <c r="FSL88" s="123"/>
      <c r="FSM88" s="123"/>
      <c r="FSN88" s="123"/>
      <c r="FSO88" s="123"/>
      <c r="FSP88" s="123"/>
      <c r="FSQ88" s="123"/>
      <c r="FSR88" s="123"/>
      <c r="FSS88" s="123"/>
      <c r="FST88" s="123"/>
      <c r="FSU88" s="123"/>
      <c r="FSV88" s="123"/>
      <c r="FSW88" s="123"/>
      <c r="FSX88" s="123"/>
      <c r="FSY88" s="123"/>
      <c r="FSZ88" s="123"/>
      <c r="FTA88" s="123"/>
      <c r="FTB88" s="123"/>
      <c r="FTC88" s="123"/>
      <c r="FTD88" s="123"/>
      <c r="FTE88" s="123"/>
      <c r="FTF88" s="123"/>
      <c r="FTG88" s="123"/>
      <c r="FTH88" s="123"/>
      <c r="FTI88" s="123"/>
      <c r="FTJ88" s="123"/>
      <c r="FTK88" s="123"/>
      <c r="FTL88" s="123"/>
      <c r="FTM88" s="123"/>
      <c r="FTN88" s="123"/>
      <c r="FTO88" s="123"/>
      <c r="FTP88" s="123"/>
      <c r="FTQ88" s="123"/>
      <c r="FTR88" s="123"/>
      <c r="FTS88" s="123"/>
      <c r="FTT88" s="123"/>
      <c r="FTU88" s="123"/>
      <c r="FTV88" s="123"/>
      <c r="FTW88" s="123"/>
      <c r="FTX88" s="123"/>
      <c r="FTY88" s="123"/>
      <c r="FTZ88" s="123"/>
      <c r="FUA88" s="123"/>
      <c r="FUB88" s="123"/>
      <c r="FUC88" s="123"/>
      <c r="FUD88" s="123"/>
      <c r="FUE88" s="123"/>
      <c r="FUF88" s="123"/>
      <c r="FUG88" s="123"/>
      <c r="FUH88" s="123"/>
      <c r="FUI88" s="123"/>
      <c r="FUJ88" s="123"/>
      <c r="FUK88" s="123"/>
      <c r="FUL88" s="123"/>
      <c r="FUM88" s="123"/>
      <c r="FUN88" s="123"/>
      <c r="FUO88" s="123"/>
      <c r="FUP88" s="123"/>
      <c r="FUQ88" s="123"/>
      <c r="FUR88" s="123"/>
      <c r="FUS88" s="123"/>
      <c r="FUT88" s="123"/>
      <c r="FUU88" s="123"/>
      <c r="FUV88" s="123"/>
      <c r="FUW88" s="123"/>
      <c r="FUX88" s="123"/>
      <c r="FUY88" s="123"/>
      <c r="FUZ88" s="123"/>
      <c r="FVA88" s="123"/>
      <c r="FVB88" s="123"/>
      <c r="FVC88" s="123"/>
      <c r="FVD88" s="123"/>
      <c r="FVE88" s="123"/>
      <c r="FVF88" s="123"/>
      <c r="FVG88" s="123"/>
      <c r="FVH88" s="123"/>
      <c r="FVI88" s="123"/>
      <c r="FVJ88" s="123"/>
      <c r="FVK88" s="123"/>
      <c r="FVL88" s="123"/>
      <c r="FVM88" s="123"/>
      <c r="FVN88" s="123"/>
      <c r="FVO88" s="123"/>
      <c r="FVP88" s="123"/>
      <c r="FVQ88" s="123"/>
      <c r="FVR88" s="123"/>
      <c r="FVS88" s="123"/>
      <c r="FVT88" s="123"/>
      <c r="FVU88" s="123"/>
      <c r="FVV88" s="123"/>
      <c r="FVW88" s="123"/>
      <c r="FVX88" s="123"/>
      <c r="FVY88" s="123"/>
      <c r="FVZ88" s="123"/>
      <c r="FWA88" s="123"/>
      <c r="FWB88" s="123"/>
      <c r="FWC88" s="123"/>
      <c r="FWD88" s="123"/>
      <c r="FWE88" s="123"/>
      <c r="FWF88" s="123"/>
      <c r="FWG88" s="123"/>
      <c r="FWH88" s="123"/>
      <c r="FWI88" s="123"/>
      <c r="FWJ88" s="123"/>
      <c r="FWK88" s="123"/>
      <c r="FWL88" s="123"/>
      <c r="FWM88" s="123"/>
      <c r="FWN88" s="123"/>
      <c r="FWO88" s="123"/>
      <c r="FWP88" s="123"/>
      <c r="FWQ88" s="123"/>
      <c r="FWR88" s="123"/>
      <c r="FWS88" s="123"/>
      <c r="FWT88" s="123"/>
      <c r="FWU88" s="123"/>
      <c r="FWV88" s="123"/>
      <c r="FWW88" s="123"/>
      <c r="FWX88" s="123"/>
      <c r="FWY88" s="123"/>
      <c r="FWZ88" s="123"/>
      <c r="FXA88" s="123"/>
      <c r="FXB88" s="123"/>
      <c r="FXC88" s="123"/>
      <c r="FXD88" s="123"/>
      <c r="FXE88" s="123"/>
      <c r="FXF88" s="123"/>
      <c r="FXG88" s="123"/>
      <c r="FXH88" s="123"/>
      <c r="FXI88" s="123"/>
      <c r="FXJ88" s="123"/>
      <c r="FXK88" s="123"/>
      <c r="FXL88" s="123"/>
      <c r="FXM88" s="123"/>
      <c r="FXN88" s="123"/>
      <c r="FXO88" s="123"/>
      <c r="FXP88" s="123"/>
      <c r="FXQ88" s="123"/>
      <c r="FXR88" s="123"/>
      <c r="FXS88" s="123"/>
      <c r="FXT88" s="123"/>
      <c r="FXU88" s="123"/>
      <c r="FXV88" s="123"/>
      <c r="FXW88" s="123"/>
      <c r="FXX88" s="123"/>
      <c r="FXY88" s="123"/>
      <c r="FXZ88" s="123"/>
      <c r="FYA88" s="123"/>
      <c r="FYB88" s="123"/>
      <c r="FYC88" s="123"/>
      <c r="FYD88" s="123"/>
      <c r="FYE88" s="123"/>
      <c r="FYF88" s="123"/>
      <c r="FYG88" s="123"/>
      <c r="FYH88" s="123"/>
      <c r="FYI88" s="123"/>
      <c r="FYJ88" s="123"/>
      <c r="FYK88" s="123"/>
      <c r="FYL88" s="123"/>
      <c r="FYM88" s="123"/>
      <c r="FYN88" s="123"/>
      <c r="FYO88" s="123"/>
      <c r="FYP88" s="123"/>
      <c r="FYQ88" s="123"/>
      <c r="FYR88" s="123"/>
      <c r="FYS88" s="123"/>
      <c r="FYT88" s="123"/>
      <c r="FYU88" s="123"/>
      <c r="FYV88" s="123"/>
      <c r="FYW88" s="123"/>
      <c r="FYX88" s="123"/>
      <c r="FYY88" s="123"/>
      <c r="FYZ88" s="123"/>
      <c r="FZA88" s="123"/>
      <c r="FZB88" s="123"/>
      <c r="FZC88" s="123"/>
      <c r="FZD88" s="123"/>
      <c r="FZE88" s="123"/>
      <c r="FZF88" s="123"/>
      <c r="FZG88" s="123"/>
      <c r="FZH88" s="123"/>
      <c r="FZI88" s="123"/>
      <c r="FZJ88" s="123"/>
      <c r="FZK88" s="123"/>
      <c r="FZL88" s="123"/>
      <c r="FZM88" s="123"/>
      <c r="FZN88" s="123"/>
      <c r="FZO88" s="123"/>
      <c r="FZP88" s="123"/>
      <c r="FZQ88" s="123"/>
      <c r="FZR88" s="123"/>
      <c r="FZS88" s="123"/>
      <c r="FZT88" s="123"/>
      <c r="FZU88" s="123"/>
      <c r="FZV88" s="123"/>
      <c r="FZW88" s="123"/>
      <c r="FZX88" s="123"/>
      <c r="FZY88" s="123"/>
      <c r="FZZ88" s="123"/>
      <c r="GAA88" s="123"/>
      <c r="GAB88" s="123"/>
      <c r="GAC88" s="123"/>
      <c r="GAD88" s="123"/>
      <c r="GAE88" s="123"/>
      <c r="GAF88" s="123"/>
      <c r="GAG88" s="123"/>
      <c r="GAH88" s="123"/>
      <c r="GAI88" s="123"/>
      <c r="GAJ88" s="123"/>
      <c r="GAK88" s="123"/>
      <c r="GAL88" s="123"/>
      <c r="GAM88" s="123"/>
      <c r="GAN88" s="123"/>
      <c r="GAO88" s="123"/>
      <c r="GAP88" s="123"/>
      <c r="GAQ88" s="123"/>
      <c r="GAR88" s="123"/>
      <c r="GAS88" s="123"/>
      <c r="GAT88" s="123"/>
      <c r="GAU88" s="123"/>
      <c r="GAV88" s="123"/>
      <c r="GAW88" s="123"/>
      <c r="GAX88" s="123"/>
      <c r="GAY88" s="123"/>
      <c r="GAZ88" s="123"/>
      <c r="GBA88" s="123"/>
      <c r="GBB88" s="123"/>
      <c r="GBC88" s="123"/>
      <c r="GBD88" s="123"/>
      <c r="GBE88" s="123"/>
      <c r="GBF88" s="123"/>
      <c r="GBG88" s="123"/>
      <c r="GBH88" s="123"/>
      <c r="GBI88" s="123"/>
      <c r="GBJ88" s="123"/>
      <c r="GBK88" s="123"/>
      <c r="GBL88" s="123"/>
      <c r="GBM88" s="123"/>
      <c r="GBN88" s="123"/>
      <c r="GBO88" s="123"/>
      <c r="GBP88" s="123"/>
      <c r="GBQ88" s="123"/>
      <c r="GBR88" s="123"/>
      <c r="GBS88" s="123"/>
      <c r="GBT88" s="123"/>
      <c r="GBU88" s="123"/>
      <c r="GBV88" s="123"/>
      <c r="GBW88" s="123"/>
      <c r="GBX88" s="123"/>
      <c r="GBY88" s="123"/>
      <c r="GBZ88" s="123"/>
      <c r="GCA88" s="123"/>
      <c r="GCB88" s="123"/>
      <c r="GCC88" s="123"/>
      <c r="GCD88" s="123"/>
      <c r="GCE88" s="123"/>
      <c r="GCF88" s="123"/>
      <c r="GCG88" s="123"/>
      <c r="GCH88" s="123"/>
      <c r="GCI88" s="123"/>
      <c r="GCJ88" s="123"/>
      <c r="GCK88" s="123"/>
      <c r="GCL88" s="123"/>
      <c r="GCM88" s="123"/>
      <c r="GCN88" s="123"/>
      <c r="GCO88" s="123"/>
      <c r="GCP88" s="123"/>
      <c r="GCQ88" s="123"/>
      <c r="GCR88" s="123"/>
      <c r="GCS88" s="123"/>
      <c r="GCT88" s="123"/>
      <c r="GCU88" s="123"/>
      <c r="GCV88" s="123"/>
      <c r="GCW88" s="123"/>
      <c r="GCX88" s="123"/>
      <c r="GCY88" s="123"/>
      <c r="GCZ88" s="123"/>
      <c r="GDA88" s="123"/>
      <c r="GDB88" s="123"/>
      <c r="GDC88" s="123"/>
      <c r="GDD88" s="123"/>
      <c r="GDE88" s="123"/>
      <c r="GDF88" s="123"/>
      <c r="GDG88" s="123"/>
      <c r="GDH88" s="123"/>
      <c r="GDI88" s="123"/>
      <c r="GDJ88" s="123"/>
      <c r="GDK88" s="123"/>
      <c r="GDL88" s="123"/>
      <c r="GDM88" s="123"/>
      <c r="GDN88" s="123"/>
      <c r="GDO88" s="123"/>
      <c r="GDP88" s="123"/>
      <c r="GDQ88" s="123"/>
      <c r="GDR88" s="123"/>
      <c r="GDS88" s="123"/>
      <c r="GDT88" s="123"/>
      <c r="GDU88" s="123"/>
      <c r="GDV88" s="123"/>
      <c r="GDW88" s="123"/>
      <c r="GDX88" s="123"/>
      <c r="GDY88" s="123"/>
      <c r="GDZ88" s="123"/>
      <c r="GEA88" s="123"/>
      <c r="GEB88" s="123"/>
      <c r="GEC88" s="123"/>
      <c r="GED88" s="123"/>
      <c r="GEE88" s="123"/>
      <c r="GEF88" s="123"/>
      <c r="GEG88" s="123"/>
      <c r="GEH88" s="123"/>
      <c r="GEI88" s="123"/>
      <c r="GEJ88" s="123"/>
      <c r="GEK88" s="123"/>
      <c r="GEL88" s="123"/>
      <c r="GEM88" s="123"/>
      <c r="GEN88" s="123"/>
      <c r="GEO88" s="123"/>
      <c r="GEP88" s="123"/>
      <c r="GEQ88" s="123"/>
      <c r="GER88" s="123"/>
      <c r="GES88" s="123"/>
      <c r="GET88" s="123"/>
      <c r="GEU88" s="123"/>
      <c r="GEV88" s="123"/>
      <c r="GEW88" s="123"/>
      <c r="GEX88" s="123"/>
      <c r="GEY88" s="123"/>
      <c r="GEZ88" s="123"/>
      <c r="GFA88" s="123"/>
      <c r="GFB88" s="123"/>
      <c r="GFC88" s="123"/>
      <c r="GFD88" s="123"/>
      <c r="GFE88" s="123"/>
      <c r="GFF88" s="123"/>
      <c r="GFG88" s="123"/>
      <c r="GFH88" s="123"/>
      <c r="GFI88" s="123"/>
      <c r="GFJ88" s="123"/>
      <c r="GFK88" s="123"/>
      <c r="GFL88" s="123"/>
      <c r="GFM88" s="123"/>
      <c r="GFN88" s="123"/>
      <c r="GFO88" s="123"/>
      <c r="GFP88" s="123"/>
      <c r="GFQ88" s="123"/>
      <c r="GFR88" s="123"/>
      <c r="GFS88" s="123"/>
      <c r="GFT88" s="123"/>
      <c r="GFU88" s="123"/>
      <c r="GFV88" s="123"/>
      <c r="GFW88" s="123"/>
      <c r="GFX88" s="123"/>
      <c r="GFY88" s="123"/>
      <c r="GFZ88" s="123"/>
      <c r="GGA88" s="123"/>
      <c r="GGB88" s="123"/>
      <c r="GGC88" s="123"/>
      <c r="GGD88" s="123"/>
      <c r="GGE88" s="123"/>
      <c r="GGF88" s="123"/>
      <c r="GGG88" s="123"/>
      <c r="GGH88" s="123"/>
      <c r="GGI88" s="123"/>
      <c r="GGJ88" s="123"/>
      <c r="GGK88" s="123"/>
      <c r="GGL88" s="123"/>
      <c r="GGM88" s="123"/>
      <c r="GGN88" s="123"/>
      <c r="GGO88" s="123"/>
      <c r="GGP88" s="123"/>
      <c r="GGQ88" s="123"/>
      <c r="GGR88" s="123"/>
      <c r="GGS88" s="123"/>
      <c r="GGT88" s="123"/>
      <c r="GGU88" s="123"/>
      <c r="GGV88" s="123"/>
      <c r="GGW88" s="123"/>
      <c r="GGX88" s="123"/>
      <c r="GGY88" s="123"/>
      <c r="GGZ88" s="123"/>
      <c r="GHA88" s="123"/>
      <c r="GHB88" s="123"/>
      <c r="GHC88" s="123"/>
      <c r="GHD88" s="123"/>
      <c r="GHE88" s="123"/>
      <c r="GHF88" s="123"/>
      <c r="GHG88" s="123"/>
      <c r="GHH88" s="123"/>
      <c r="GHI88" s="123"/>
      <c r="GHJ88" s="123"/>
      <c r="GHK88" s="123"/>
      <c r="GHL88" s="123"/>
      <c r="GHM88" s="123"/>
      <c r="GHN88" s="123"/>
      <c r="GHO88" s="123"/>
      <c r="GHP88" s="123"/>
      <c r="GHQ88" s="123"/>
      <c r="GHR88" s="123"/>
      <c r="GHS88" s="123"/>
      <c r="GHT88" s="123"/>
      <c r="GHU88" s="123"/>
      <c r="GHV88" s="123"/>
      <c r="GHW88" s="123"/>
      <c r="GHX88" s="123"/>
      <c r="GHY88" s="123"/>
      <c r="GHZ88" s="123"/>
      <c r="GIA88" s="123"/>
      <c r="GIB88" s="123"/>
      <c r="GIC88" s="123"/>
      <c r="GID88" s="123"/>
      <c r="GIE88" s="123"/>
      <c r="GIF88" s="123"/>
      <c r="GIG88" s="123"/>
      <c r="GIH88" s="123"/>
      <c r="GII88" s="123"/>
      <c r="GIJ88" s="123"/>
      <c r="GIK88" s="123"/>
      <c r="GIL88" s="123"/>
      <c r="GIM88" s="123"/>
      <c r="GIN88" s="123"/>
      <c r="GIO88" s="123"/>
      <c r="GIP88" s="123"/>
      <c r="GIQ88" s="123"/>
      <c r="GIR88" s="123"/>
      <c r="GIS88" s="123"/>
      <c r="GIT88" s="123"/>
      <c r="GIU88" s="123"/>
      <c r="GIV88" s="123"/>
      <c r="GIW88" s="123"/>
      <c r="GIX88" s="123"/>
      <c r="GIY88" s="123"/>
      <c r="GIZ88" s="123"/>
      <c r="GJA88" s="123"/>
      <c r="GJB88" s="123"/>
      <c r="GJC88" s="123"/>
      <c r="GJD88" s="123"/>
      <c r="GJE88" s="123"/>
      <c r="GJF88" s="123"/>
      <c r="GJG88" s="123"/>
      <c r="GJH88" s="123"/>
      <c r="GJI88" s="123"/>
      <c r="GJJ88" s="123"/>
      <c r="GJK88" s="123"/>
      <c r="GJL88" s="123"/>
      <c r="GJM88" s="123"/>
      <c r="GJN88" s="123"/>
      <c r="GJO88" s="123"/>
      <c r="GJP88" s="123"/>
      <c r="GJQ88" s="123"/>
      <c r="GJR88" s="123"/>
      <c r="GJS88" s="123"/>
      <c r="GJT88" s="123"/>
      <c r="GJU88" s="123"/>
      <c r="GJV88" s="123"/>
      <c r="GJW88" s="123"/>
      <c r="GJX88" s="123"/>
      <c r="GJY88" s="123"/>
      <c r="GJZ88" s="123"/>
      <c r="GKA88" s="123"/>
      <c r="GKB88" s="123"/>
      <c r="GKC88" s="123"/>
      <c r="GKD88" s="123"/>
      <c r="GKE88" s="123"/>
      <c r="GKF88" s="123"/>
      <c r="GKG88" s="123"/>
      <c r="GKH88" s="123"/>
      <c r="GKI88" s="123"/>
      <c r="GKJ88" s="123"/>
      <c r="GKK88" s="123"/>
      <c r="GKL88" s="123"/>
      <c r="GKM88" s="123"/>
      <c r="GKN88" s="123"/>
      <c r="GKO88" s="123"/>
      <c r="GKP88" s="123"/>
      <c r="GKQ88" s="123"/>
      <c r="GKR88" s="123"/>
      <c r="GKS88" s="123"/>
      <c r="GKT88" s="123"/>
      <c r="GKU88" s="123"/>
      <c r="GKV88" s="123"/>
      <c r="GKW88" s="123"/>
      <c r="GKX88" s="123"/>
      <c r="GKY88" s="123"/>
      <c r="GKZ88" s="123"/>
      <c r="GLA88" s="123"/>
      <c r="GLB88" s="123"/>
      <c r="GLC88" s="123"/>
      <c r="GLD88" s="123"/>
      <c r="GLE88" s="123"/>
      <c r="GLF88" s="123"/>
      <c r="GLG88" s="123"/>
      <c r="GLH88" s="123"/>
      <c r="GLI88" s="123"/>
      <c r="GLJ88" s="123"/>
      <c r="GLK88" s="123"/>
      <c r="GLL88" s="123"/>
      <c r="GLM88" s="123"/>
      <c r="GLN88" s="123"/>
      <c r="GLO88" s="123"/>
      <c r="GLP88" s="123"/>
      <c r="GLQ88" s="123"/>
      <c r="GLR88" s="123"/>
      <c r="GLS88" s="123"/>
      <c r="GLT88" s="123"/>
      <c r="GLU88" s="123"/>
      <c r="GLV88" s="123"/>
      <c r="GLW88" s="123"/>
      <c r="GLX88" s="123"/>
      <c r="GLY88" s="123"/>
      <c r="GLZ88" s="123"/>
      <c r="GMA88" s="123"/>
      <c r="GMB88" s="123"/>
      <c r="GMC88" s="123"/>
      <c r="GMD88" s="123"/>
      <c r="GME88" s="123"/>
      <c r="GMF88" s="123"/>
      <c r="GMG88" s="123"/>
      <c r="GMH88" s="123"/>
      <c r="GMI88" s="123"/>
      <c r="GMJ88" s="123"/>
      <c r="GMK88" s="123"/>
      <c r="GML88" s="123"/>
      <c r="GMM88" s="123"/>
      <c r="GMN88" s="123"/>
      <c r="GMO88" s="123"/>
      <c r="GMP88" s="123"/>
      <c r="GMQ88" s="123"/>
      <c r="GMR88" s="123"/>
      <c r="GMS88" s="123"/>
      <c r="GMT88" s="123"/>
      <c r="GMU88" s="123"/>
      <c r="GMV88" s="123"/>
      <c r="GMW88" s="123"/>
      <c r="GMX88" s="123"/>
      <c r="GMY88" s="123"/>
      <c r="GMZ88" s="123"/>
      <c r="GNA88" s="123"/>
      <c r="GNB88" s="123"/>
      <c r="GNC88" s="123"/>
      <c r="GND88" s="123"/>
      <c r="GNE88" s="123"/>
      <c r="GNF88" s="123"/>
      <c r="GNG88" s="123"/>
      <c r="GNH88" s="123"/>
      <c r="GNI88" s="123"/>
      <c r="GNJ88" s="123"/>
      <c r="GNK88" s="123"/>
      <c r="GNL88" s="123"/>
      <c r="GNM88" s="123"/>
      <c r="GNN88" s="123"/>
      <c r="GNO88" s="123"/>
      <c r="GNP88" s="123"/>
      <c r="GNQ88" s="123"/>
      <c r="GNR88" s="123"/>
      <c r="GNS88" s="123"/>
      <c r="GNT88" s="123"/>
      <c r="GNU88" s="123"/>
      <c r="GNV88" s="123"/>
      <c r="GNW88" s="123"/>
      <c r="GNX88" s="123"/>
      <c r="GNY88" s="123"/>
      <c r="GNZ88" s="123"/>
      <c r="GOA88" s="123"/>
      <c r="GOB88" s="123"/>
      <c r="GOC88" s="123"/>
      <c r="GOD88" s="123"/>
      <c r="GOE88" s="123"/>
      <c r="GOF88" s="123"/>
      <c r="GOG88" s="123"/>
      <c r="GOH88" s="123"/>
      <c r="GOI88" s="123"/>
      <c r="GOJ88" s="123"/>
      <c r="GOK88" s="123"/>
      <c r="GOL88" s="123"/>
      <c r="GOM88" s="123"/>
      <c r="GON88" s="123"/>
      <c r="GOO88" s="123"/>
      <c r="GOP88" s="123"/>
      <c r="GOQ88" s="123"/>
      <c r="GOR88" s="123"/>
      <c r="GOS88" s="123"/>
      <c r="GOT88" s="123"/>
      <c r="GOU88" s="123"/>
      <c r="GOV88" s="123"/>
      <c r="GOW88" s="123"/>
      <c r="GOX88" s="123"/>
      <c r="GOY88" s="123"/>
      <c r="GOZ88" s="123"/>
      <c r="GPA88" s="123"/>
      <c r="GPB88" s="123"/>
      <c r="GPC88" s="123"/>
      <c r="GPD88" s="123"/>
      <c r="GPE88" s="123"/>
      <c r="GPF88" s="123"/>
      <c r="GPG88" s="123"/>
      <c r="GPH88" s="123"/>
      <c r="GPI88" s="123"/>
      <c r="GPJ88" s="123"/>
      <c r="GPK88" s="123"/>
      <c r="GPL88" s="123"/>
      <c r="GPM88" s="123"/>
      <c r="GPN88" s="123"/>
      <c r="GPO88" s="123"/>
      <c r="GPP88" s="123"/>
      <c r="GPQ88" s="123"/>
      <c r="GPR88" s="123"/>
      <c r="GPS88" s="123"/>
      <c r="GPT88" s="123"/>
      <c r="GPU88" s="123"/>
      <c r="GPV88" s="123"/>
      <c r="GPW88" s="123"/>
      <c r="GPX88" s="123"/>
      <c r="GPY88" s="123"/>
      <c r="GPZ88" s="123"/>
      <c r="GQA88" s="123"/>
      <c r="GQB88" s="123"/>
      <c r="GQC88" s="123"/>
      <c r="GQD88" s="123"/>
      <c r="GQE88" s="123"/>
      <c r="GQF88" s="123"/>
      <c r="GQG88" s="123"/>
      <c r="GQH88" s="123"/>
      <c r="GQI88" s="123"/>
      <c r="GQJ88" s="123"/>
      <c r="GQK88" s="123"/>
      <c r="GQL88" s="123"/>
      <c r="GQM88" s="123"/>
      <c r="GQN88" s="123"/>
      <c r="GQO88" s="123"/>
      <c r="GQP88" s="123"/>
      <c r="GQQ88" s="123"/>
      <c r="GQR88" s="123"/>
      <c r="GQS88" s="123"/>
      <c r="GQT88" s="123"/>
      <c r="GQU88" s="123"/>
      <c r="GQV88" s="123"/>
      <c r="GQW88" s="123"/>
      <c r="GQX88" s="123"/>
      <c r="GQY88" s="123"/>
      <c r="GQZ88" s="123"/>
      <c r="GRA88" s="123"/>
      <c r="GRB88" s="123"/>
      <c r="GRC88" s="123"/>
      <c r="GRD88" s="123"/>
      <c r="GRE88" s="123"/>
      <c r="GRF88" s="123"/>
      <c r="GRG88" s="123"/>
      <c r="GRH88" s="123"/>
      <c r="GRI88" s="123"/>
      <c r="GRJ88" s="123"/>
      <c r="GRK88" s="123"/>
      <c r="GRL88" s="123"/>
      <c r="GRM88" s="123"/>
      <c r="GRN88" s="123"/>
      <c r="GRO88" s="123"/>
      <c r="GRP88" s="123"/>
      <c r="GRQ88" s="123"/>
      <c r="GRR88" s="123"/>
      <c r="GRS88" s="123"/>
      <c r="GRT88" s="123"/>
      <c r="GRU88" s="123"/>
      <c r="GRV88" s="123"/>
      <c r="GRW88" s="123"/>
      <c r="GRX88" s="123"/>
      <c r="GRY88" s="123"/>
      <c r="GRZ88" s="123"/>
      <c r="GSA88" s="123"/>
      <c r="GSB88" s="123"/>
      <c r="GSC88" s="123"/>
      <c r="GSD88" s="123"/>
      <c r="GSE88" s="123"/>
      <c r="GSF88" s="123"/>
      <c r="GSG88" s="123"/>
      <c r="GSH88" s="123"/>
      <c r="GSI88" s="123"/>
      <c r="GSJ88" s="123"/>
      <c r="GSK88" s="123"/>
      <c r="GSL88" s="123"/>
      <c r="GSM88" s="123"/>
      <c r="GSN88" s="123"/>
      <c r="GSO88" s="123"/>
      <c r="GSP88" s="123"/>
      <c r="GSQ88" s="123"/>
      <c r="GSR88" s="123"/>
      <c r="GSS88" s="123"/>
      <c r="GST88" s="123"/>
      <c r="GSU88" s="123"/>
      <c r="GSV88" s="123"/>
      <c r="GSW88" s="123"/>
      <c r="GSX88" s="123"/>
      <c r="GSY88" s="123"/>
      <c r="GSZ88" s="123"/>
      <c r="GTA88" s="123"/>
      <c r="GTB88" s="123"/>
      <c r="GTC88" s="123"/>
      <c r="GTD88" s="123"/>
      <c r="GTE88" s="123"/>
      <c r="GTF88" s="123"/>
      <c r="GTG88" s="123"/>
      <c r="GTH88" s="123"/>
      <c r="GTI88" s="123"/>
      <c r="GTJ88" s="123"/>
      <c r="GTK88" s="123"/>
      <c r="GTL88" s="123"/>
      <c r="GTM88" s="123"/>
      <c r="GTN88" s="123"/>
      <c r="GTO88" s="123"/>
      <c r="GTP88" s="123"/>
      <c r="GTQ88" s="123"/>
      <c r="GTR88" s="123"/>
      <c r="GTS88" s="123"/>
      <c r="GTT88" s="123"/>
      <c r="GTU88" s="123"/>
      <c r="GTV88" s="123"/>
      <c r="GTW88" s="123"/>
      <c r="GTX88" s="123"/>
      <c r="GTY88" s="123"/>
      <c r="GTZ88" s="123"/>
      <c r="GUA88" s="123"/>
      <c r="GUB88" s="123"/>
      <c r="GUC88" s="123"/>
      <c r="GUD88" s="123"/>
      <c r="GUE88" s="123"/>
      <c r="GUF88" s="123"/>
      <c r="GUG88" s="123"/>
      <c r="GUH88" s="123"/>
      <c r="GUI88" s="123"/>
      <c r="GUJ88" s="123"/>
      <c r="GUK88" s="123"/>
      <c r="GUL88" s="123"/>
      <c r="GUM88" s="123"/>
      <c r="GUN88" s="123"/>
      <c r="GUO88" s="123"/>
      <c r="GUP88" s="123"/>
      <c r="GUQ88" s="123"/>
      <c r="GUR88" s="123"/>
      <c r="GUS88" s="123"/>
      <c r="GUT88" s="123"/>
      <c r="GUU88" s="123"/>
      <c r="GUV88" s="123"/>
      <c r="GUW88" s="123"/>
      <c r="GUX88" s="123"/>
      <c r="GUY88" s="123"/>
      <c r="GUZ88" s="123"/>
      <c r="GVA88" s="123"/>
      <c r="GVB88" s="123"/>
      <c r="GVC88" s="123"/>
      <c r="GVD88" s="123"/>
      <c r="GVE88" s="123"/>
      <c r="GVF88" s="123"/>
      <c r="GVG88" s="123"/>
      <c r="GVH88" s="123"/>
      <c r="GVI88" s="123"/>
      <c r="GVJ88" s="123"/>
      <c r="GVK88" s="123"/>
      <c r="GVL88" s="123"/>
      <c r="GVM88" s="123"/>
      <c r="GVN88" s="123"/>
      <c r="GVO88" s="123"/>
      <c r="GVP88" s="123"/>
      <c r="GVQ88" s="123"/>
      <c r="GVR88" s="123"/>
      <c r="GVS88" s="123"/>
      <c r="GVT88" s="123"/>
      <c r="GVU88" s="123"/>
      <c r="GVV88" s="123"/>
      <c r="GVW88" s="123"/>
      <c r="GVX88" s="123"/>
      <c r="GVY88" s="123"/>
      <c r="GVZ88" s="123"/>
      <c r="GWA88" s="123"/>
      <c r="GWB88" s="123"/>
      <c r="GWC88" s="123"/>
      <c r="GWD88" s="123"/>
      <c r="GWE88" s="123"/>
      <c r="GWF88" s="123"/>
      <c r="GWG88" s="123"/>
      <c r="GWH88" s="123"/>
      <c r="GWI88" s="123"/>
      <c r="GWJ88" s="123"/>
      <c r="GWK88" s="123"/>
      <c r="GWL88" s="123"/>
      <c r="GWM88" s="123"/>
      <c r="GWN88" s="123"/>
      <c r="GWO88" s="123"/>
      <c r="GWP88" s="123"/>
      <c r="GWQ88" s="123"/>
      <c r="GWR88" s="123"/>
      <c r="GWS88" s="123"/>
      <c r="GWT88" s="123"/>
      <c r="GWU88" s="123"/>
      <c r="GWV88" s="123"/>
      <c r="GWW88" s="123"/>
      <c r="GWX88" s="123"/>
      <c r="GWY88" s="123"/>
      <c r="GWZ88" s="123"/>
      <c r="GXA88" s="123"/>
      <c r="GXB88" s="123"/>
      <c r="GXC88" s="123"/>
      <c r="GXD88" s="123"/>
      <c r="GXE88" s="123"/>
      <c r="GXF88" s="123"/>
      <c r="GXG88" s="123"/>
      <c r="GXH88" s="123"/>
      <c r="GXI88" s="123"/>
      <c r="GXJ88" s="123"/>
      <c r="GXK88" s="123"/>
      <c r="GXL88" s="123"/>
      <c r="GXM88" s="123"/>
      <c r="GXN88" s="123"/>
      <c r="GXO88" s="123"/>
      <c r="GXP88" s="123"/>
      <c r="GXQ88" s="123"/>
      <c r="GXR88" s="123"/>
      <c r="GXS88" s="123"/>
      <c r="GXT88" s="123"/>
      <c r="GXU88" s="123"/>
      <c r="GXV88" s="123"/>
      <c r="GXW88" s="123"/>
      <c r="GXX88" s="123"/>
      <c r="GXY88" s="123"/>
      <c r="GXZ88" s="123"/>
      <c r="GYA88" s="123"/>
      <c r="GYB88" s="123"/>
      <c r="GYC88" s="123"/>
      <c r="GYD88" s="123"/>
      <c r="GYE88" s="123"/>
      <c r="GYF88" s="123"/>
      <c r="GYG88" s="123"/>
      <c r="GYH88" s="123"/>
      <c r="GYI88" s="123"/>
      <c r="GYJ88" s="123"/>
      <c r="GYK88" s="123"/>
      <c r="GYL88" s="123"/>
      <c r="GYM88" s="123"/>
      <c r="GYN88" s="123"/>
      <c r="GYO88" s="123"/>
      <c r="GYP88" s="123"/>
      <c r="GYQ88" s="123"/>
      <c r="GYR88" s="123"/>
      <c r="GYS88" s="123"/>
      <c r="GYT88" s="123"/>
      <c r="GYU88" s="123"/>
      <c r="GYV88" s="123"/>
      <c r="GYW88" s="123"/>
      <c r="GYX88" s="123"/>
      <c r="GYY88" s="123"/>
      <c r="GYZ88" s="123"/>
      <c r="GZA88" s="123"/>
      <c r="GZB88" s="123"/>
      <c r="GZC88" s="123"/>
      <c r="GZD88" s="123"/>
      <c r="GZE88" s="123"/>
      <c r="GZF88" s="123"/>
      <c r="GZG88" s="123"/>
      <c r="GZH88" s="123"/>
      <c r="GZI88" s="123"/>
      <c r="GZJ88" s="123"/>
      <c r="GZK88" s="123"/>
      <c r="GZL88" s="123"/>
      <c r="GZM88" s="123"/>
      <c r="GZN88" s="123"/>
      <c r="GZO88" s="123"/>
      <c r="GZP88" s="123"/>
      <c r="GZQ88" s="123"/>
      <c r="GZR88" s="123"/>
      <c r="GZS88" s="123"/>
      <c r="GZT88" s="123"/>
      <c r="GZU88" s="123"/>
      <c r="GZV88" s="123"/>
      <c r="GZW88" s="123"/>
      <c r="GZX88" s="123"/>
      <c r="GZY88" s="123"/>
      <c r="GZZ88" s="123"/>
      <c r="HAA88" s="123"/>
      <c r="HAB88" s="123"/>
      <c r="HAC88" s="123"/>
      <c r="HAD88" s="123"/>
      <c r="HAE88" s="123"/>
      <c r="HAF88" s="123"/>
      <c r="HAG88" s="123"/>
      <c r="HAH88" s="123"/>
      <c r="HAI88" s="123"/>
      <c r="HAJ88" s="123"/>
      <c r="HAK88" s="123"/>
      <c r="HAL88" s="123"/>
      <c r="HAM88" s="123"/>
      <c r="HAN88" s="123"/>
      <c r="HAO88" s="123"/>
      <c r="HAP88" s="123"/>
      <c r="HAQ88" s="123"/>
      <c r="HAR88" s="123"/>
      <c r="HAS88" s="123"/>
      <c r="HAT88" s="123"/>
      <c r="HAU88" s="123"/>
      <c r="HAV88" s="123"/>
      <c r="HAW88" s="123"/>
      <c r="HAX88" s="123"/>
      <c r="HAY88" s="123"/>
      <c r="HAZ88" s="123"/>
      <c r="HBA88" s="123"/>
      <c r="HBB88" s="123"/>
      <c r="HBC88" s="123"/>
      <c r="HBD88" s="123"/>
      <c r="HBE88" s="123"/>
      <c r="HBF88" s="123"/>
      <c r="HBG88" s="123"/>
      <c r="HBH88" s="123"/>
      <c r="HBI88" s="123"/>
      <c r="HBJ88" s="123"/>
      <c r="HBK88" s="123"/>
      <c r="HBL88" s="123"/>
      <c r="HBM88" s="123"/>
      <c r="HBN88" s="123"/>
      <c r="HBO88" s="123"/>
      <c r="HBP88" s="123"/>
      <c r="HBQ88" s="123"/>
      <c r="HBR88" s="123"/>
      <c r="HBS88" s="123"/>
      <c r="HBT88" s="123"/>
      <c r="HBU88" s="123"/>
      <c r="HBV88" s="123"/>
      <c r="HBW88" s="123"/>
      <c r="HBX88" s="123"/>
      <c r="HBY88" s="123"/>
      <c r="HBZ88" s="123"/>
      <c r="HCA88" s="123"/>
      <c r="HCB88" s="123"/>
      <c r="HCC88" s="123"/>
      <c r="HCD88" s="123"/>
      <c r="HCE88" s="123"/>
      <c r="HCF88" s="123"/>
      <c r="HCG88" s="123"/>
      <c r="HCH88" s="123"/>
      <c r="HCI88" s="123"/>
      <c r="HCJ88" s="123"/>
      <c r="HCK88" s="123"/>
      <c r="HCL88" s="123"/>
      <c r="HCM88" s="123"/>
      <c r="HCN88" s="123"/>
      <c r="HCO88" s="123"/>
      <c r="HCP88" s="123"/>
      <c r="HCQ88" s="123"/>
      <c r="HCR88" s="123"/>
      <c r="HCS88" s="123"/>
      <c r="HCT88" s="123"/>
      <c r="HCU88" s="123"/>
      <c r="HCV88" s="123"/>
      <c r="HCW88" s="123"/>
      <c r="HCX88" s="123"/>
      <c r="HCY88" s="123"/>
      <c r="HCZ88" s="123"/>
      <c r="HDA88" s="123"/>
      <c r="HDB88" s="123"/>
      <c r="HDC88" s="123"/>
      <c r="HDD88" s="123"/>
      <c r="HDE88" s="123"/>
      <c r="HDF88" s="123"/>
      <c r="HDG88" s="123"/>
      <c r="HDH88" s="123"/>
      <c r="HDI88" s="123"/>
      <c r="HDJ88" s="123"/>
      <c r="HDK88" s="123"/>
      <c r="HDL88" s="123"/>
      <c r="HDM88" s="123"/>
      <c r="HDN88" s="123"/>
      <c r="HDO88" s="123"/>
      <c r="HDP88" s="123"/>
      <c r="HDQ88" s="123"/>
      <c r="HDR88" s="123"/>
      <c r="HDS88" s="123"/>
      <c r="HDT88" s="123"/>
      <c r="HDU88" s="123"/>
      <c r="HDV88" s="123"/>
      <c r="HDW88" s="123"/>
      <c r="HDX88" s="123"/>
      <c r="HDY88" s="123"/>
      <c r="HDZ88" s="123"/>
      <c r="HEA88" s="123"/>
      <c r="HEB88" s="123"/>
      <c r="HEC88" s="123"/>
      <c r="HED88" s="123"/>
      <c r="HEE88" s="123"/>
      <c r="HEF88" s="123"/>
      <c r="HEG88" s="123"/>
      <c r="HEH88" s="123"/>
      <c r="HEI88" s="123"/>
      <c r="HEJ88" s="123"/>
      <c r="HEK88" s="123"/>
      <c r="HEL88" s="123"/>
      <c r="HEM88" s="123"/>
      <c r="HEN88" s="123"/>
      <c r="HEO88" s="123"/>
      <c r="HEP88" s="123"/>
      <c r="HEQ88" s="123"/>
      <c r="HER88" s="123"/>
      <c r="HES88" s="123"/>
      <c r="HET88" s="123"/>
      <c r="HEU88" s="123"/>
      <c r="HEV88" s="123"/>
      <c r="HEW88" s="123"/>
      <c r="HEX88" s="123"/>
      <c r="HEY88" s="123"/>
      <c r="HEZ88" s="123"/>
      <c r="HFA88" s="123"/>
      <c r="HFB88" s="123"/>
      <c r="HFC88" s="123"/>
      <c r="HFD88" s="123"/>
      <c r="HFE88" s="123"/>
      <c r="HFF88" s="123"/>
      <c r="HFG88" s="123"/>
      <c r="HFH88" s="123"/>
      <c r="HFI88" s="123"/>
      <c r="HFJ88" s="123"/>
      <c r="HFK88" s="123"/>
      <c r="HFL88" s="123"/>
      <c r="HFM88" s="123"/>
      <c r="HFN88" s="123"/>
      <c r="HFO88" s="123"/>
      <c r="HFP88" s="123"/>
      <c r="HFQ88" s="123"/>
      <c r="HFR88" s="123"/>
      <c r="HFS88" s="123"/>
      <c r="HFT88" s="123"/>
      <c r="HFU88" s="123"/>
      <c r="HFV88" s="123"/>
      <c r="HFW88" s="123"/>
      <c r="HFX88" s="123"/>
      <c r="HFY88" s="123"/>
      <c r="HFZ88" s="123"/>
      <c r="HGA88" s="123"/>
      <c r="HGB88" s="123"/>
      <c r="HGC88" s="123"/>
      <c r="HGD88" s="123"/>
      <c r="HGE88" s="123"/>
      <c r="HGF88" s="123"/>
      <c r="HGG88" s="123"/>
      <c r="HGH88" s="123"/>
      <c r="HGI88" s="123"/>
      <c r="HGJ88" s="123"/>
      <c r="HGK88" s="123"/>
      <c r="HGL88" s="123"/>
      <c r="HGM88" s="123"/>
      <c r="HGN88" s="123"/>
      <c r="HGO88" s="123"/>
      <c r="HGP88" s="123"/>
      <c r="HGQ88" s="123"/>
      <c r="HGR88" s="123"/>
      <c r="HGS88" s="123"/>
      <c r="HGT88" s="123"/>
      <c r="HGU88" s="123"/>
      <c r="HGV88" s="123"/>
      <c r="HGW88" s="123"/>
      <c r="HGX88" s="123"/>
      <c r="HGY88" s="123"/>
      <c r="HGZ88" s="123"/>
      <c r="HHA88" s="123"/>
      <c r="HHB88" s="123"/>
      <c r="HHC88" s="123"/>
      <c r="HHD88" s="123"/>
      <c r="HHE88" s="123"/>
      <c r="HHF88" s="123"/>
      <c r="HHG88" s="123"/>
      <c r="HHH88" s="123"/>
      <c r="HHI88" s="123"/>
      <c r="HHJ88" s="123"/>
      <c r="HHK88" s="123"/>
      <c r="HHL88" s="123"/>
      <c r="HHM88" s="123"/>
      <c r="HHN88" s="123"/>
      <c r="HHO88" s="123"/>
      <c r="HHP88" s="123"/>
      <c r="HHQ88" s="123"/>
      <c r="HHR88" s="123"/>
      <c r="HHS88" s="123"/>
      <c r="HHT88" s="123"/>
      <c r="HHU88" s="123"/>
      <c r="HHV88" s="123"/>
      <c r="HHW88" s="123"/>
      <c r="HHX88" s="123"/>
      <c r="HHY88" s="123"/>
      <c r="HHZ88" s="123"/>
      <c r="HIA88" s="123"/>
      <c r="HIB88" s="123"/>
      <c r="HIC88" s="123"/>
      <c r="HID88" s="123"/>
      <c r="HIE88" s="123"/>
      <c r="HIF88" s="123"/>
      <c r="HIG88" s="123"/>
      <c r="HIH88" s="123"/>
      <c r="HII88" s="123"/>
      <c r="HIJ88" s="123"/>
      <c r="HIK88" s="123"/>
      <c r="HIL88" s="123"/>
      <c r="HIM88" s="123"/>
      <c r="HIN88" s="123"/>
      <c r="HIO88" s="123"/>
      <c r="HIP88" s="123"/>
      <c r="HIQ88" s="123"/>
      <c r="HIR88" s="123"/>
      <c r="HIS88" s="123"/>
      <c r="HIT88" s="123"/>
      <c r="HIU88" s="123"/>
      <c r="HIV88" s="123"/>
      <c r="HIW88" s="123"/>
      <c r="HIX88" s="123"/>
      <c r="HIY88" s="123"/>
      <c r="HIZ88" s="123"/>
      <c r="HJA88" s="123"/>
      <c r="HJB88" s="123"/>
      <c r="HJC88" s="123"/>
      <c r="HJD88" s="123"/>
      <c r="HJE88" s="123"/>
      <c r="HJF88" s="123"/>
      <c r="HJG88" s="123"/>
      <c r="HJH88" s="123"/>
      <c r="HJI88" s="123"/>
      <c r="HJJ88" s="123"/>
      <c r="HJK88" s="123"/>
      <c r="HJL88" s="123"/>
      <c r="HJM88" s="123"/>
      <c r="HJN88" s="123"/>
      <c r="HJO88" s="123"/>
      <c r="HJP88" s="123"/>
      <c r="HJQ88" s="123"/>
      <c r="HJR88" s="123"/>
      <c r="HJS88" s="123"/>
      <c r="HJT88" s="123"/>
      <c r="HJU88" s="123"/>
      <c r="HJV88" s="123"/>
      <c r="HJW88" s="123"/>
      <c r="HJX88" s="123"/>
      <c r="HJY88" s="123"/>
      <c r="HJZ88" s="123"/>
      <c r="HKA88" s="123"/>
      <c r="HKB88" s="123"/>
      <c r="HKC88" s="123"/>
      <c r="HKD88" s="123"/>
      <c r="HKE88" s="123"/>
      <c r="HKF88" s="123"/>
      <c r="HKG88" s="123"/>
      <c r="HKH88" s="123"/>
      <c r="HKI88" s="123"/>
      <c r="HKJ88" s="123"/>
      <c r="HKK88" s="123"/>
      <c r="HKL88" s="123"/>
      <c r="HKM88" s="123"/>
      <c r="HKN88" s="123"/>
      <c r="HKO88" s="123"/>
      <c r="HKP88" s="123"/>
      <c r="HKQ88" s="123"/>
      <c r="HKR88" s="123"/>
      <c r="HKS88" s="123"/>
      <c r="HKT88" s="123"/>
      <c r="HKU88" s="123"/>
      <c r="HKV88" s="123"/>
      <c r="HKW88" s="123"/>
      <c r="HKX88" s="123"/>
      <c r="HKY88" s="123"/>
      <c r="HKZ88" s="123"/>
      <c r="HLA88" s="123"/>
      <c r="HLB88" s="123"/>
      <c r="HLC88" s="123"/>
      <c r="HLD88" s="123"/>
      <c r="HLE88" s="123"/>
      <c r="HLF88" s="123"/>
      <c r="HLG88" s="123"/>
      <c r="HLH88" s="123"/>
      <c r="HLI88" s="123"/>
      <c r="HLJ88" s="123"/>
      <c r="HLK88" s="123"/>
      <c r="HLL88" s="123"/>
      <c r="HLM88" s="123"/>
      <c r="HLN88" s="123"/>
      <c r="HLO88" s="123"/>
      <c r="HLP88" s="123"/>
      <c r="HLQ88" s="123"/>
      <c r="HLR88" s="123"/>
      <c r="HLS88" s="123"/>
      <c r="HLT88" s="123"/>
      <c r="HLU88" s="123"/>
      <c r="HLV88" s="123"/>
      <c r="HLW88" s="123"/>
      <c r="HLX88" s="123"/>
      <c r="HLY88" s="123"/>
      <c r="HLZ88" s="123"/>
      <c r="HMA88" s="123"/>
      <c r="HMB88" s="123"/>
      <c r="HMC88" s="123"/>
      <c r="HMD88" s="123"/>
      <c r="HME88" s="123"/>
      <c r="HMF88" s="123"/>
      <c r="HMG88" s="123"/>
      <c r="HMH88" s="123"/>
      <c r="HMI88" s="123"/>
      <c r="HMJ88" s="123"/>
      <c r="HMK88" s="123"/>
      <c r="HML88" s="123"/>
      <c r="HMM88" s="123"/>
      <c r="HMN88" s="123"/>
      <c r="HMO88" s="123"/>
      <c r="HMP88" s="123"/>
      <c r="HMQ88" s="123"/>
      <c r="HMR88" s="123"/>
      <c r="HMS88" s="123"/>
      <c r="HMT88" s="123"/>
      <c r="HMU88" s="123"/>
      <c r="HMV88" s="123"/>
      <c r="HMW88" s="123"/>
      <c r="HMX88" s="123"/>
      <c r="HMY88" s="123"/>
      <c r="HMZ88" s="123"/>
      <c r="HNA88" s="123"/>
      <c r="HNB88" s="123"/>
      <c r="HNC88" s="123"/>
      <c r="HND88" s="123"/>
      <c r="HNE88" s="123"/>
      <c r="HNF88" s="123"/>
      <c r="HNG88" s="123"/>
      <c r="HNH88" s="123"/>
      <c r="HNI88" s="123"/>
      <c r="HNJ88" s="123"/>
      <c r="HNK88" s="123"/>
      <c r="HNL88" s="123"/>
      <c r="HNM88" s="123"/>
      <c r="HNN88" s="123"/>
      <c r="HNO88" s="123"/>
      <c r="HNP88" s="123"/>
      <c r="HNQ88" s="123"/>
      <c r="HNR88" s="123"/>
      <c r="HNS88" s="123"/>
      <c r="HNT88" s="123"/>
      <c r="HNU88" s="123"/>
      <c r="HNV88" s="123"/>
      <c r="HNW88" s="123"/>
      <c r="HNX88" s="123"/>
      <c r="HNY88" s="123"/>
      <c r="HNZ88" s="123"/>
      <c r="HOA88" s="123"/>
      <c r="HOB88" s="123"/>
      <c r="HOC88" s="123"/>
      <c r="HOD88" s="123"/>
      <c r="HOE88" s="123"/>
      <c r="HOF88" s="123"/>
      <c r="HOG88" s="123"/>
      <c r="HOH88" s="123"/>
      <c r="HOI88" s="123"/>
      <c r="HOJ88" s="123"/>
      <c r="HOK88" s="123"/>
      <c r="HOL88" s="123"/>
      <c r="HOM88" s="123"/>
      <c r="HON88" s="123"/>
      <c r="HOO88" s="123"/>
      <c r="HOP88" s="123"/>
      <c r="HOQ88" s="123"/>
      <c r="HOR88" s="123"/>
      <c r="HOS88" s="123"/>
      <c r="HOT88" s="123"/>
      <c r="HOU88" s="123"/>
      <c r="HOV88" s="123"/>
      <c r="HOW88" s="123"/>
      <c r="HOX88" s="123"/>
      <c r="HOY88" s="123"/>
      <c r="HOZ88" s="123"/>
      <c r="HPA88" s="123"/>
      <c r="HPB88" s="123"/>
      <c r="HPC88" s="123"/>
      <c r="HPD88" s="123"/>
      <c r="HPE88" s="123"/>
      <c r="HPF88" s="123"/>
      <c r="HPG88" s="123"/>
      <c r="HPH88" s="123"/>
      <c r="HPI88" s="123"/>
      <c r="HPJ88" s="123"/>
      <c r="HPK88" s="123"/>
      <c r="HPL88" s="123"/>
      <c r="HPM88" s="123"/>
      <c r="HPN88" s="123"/>
      <c r="HPO88" s="123"/>
      <c r="HPP88" s="123"/>
      <c r="HPQ88" s="123"/>
      <c r="HPR88" s="123"/>
      <c r="HPS88" s="123"/>
      <c r="HPT88" s="123"/>
      <c r="HPU88" s="123"/>
      <c r="HPV88" s="123"/>
      <c r="HPW88" s="123"/>
      <c r="HPX88" s="123"/>
      <c r="HPY88" s="123"/>
      <c r="HPZ88" s="123"/>
      <c r="HQA88" s="123"/>
      <c r="HQB88" s="123"/>
      <c r="HQC88" s="123"/>
      <c r="HQD88" s="123"/>
      <c r="HQE88" s="123"/>
      <c r="HQF88" s="123"/>
      <c r="HQG88" s="123"/>
      <c r="HQH88" s="123"/>
      <c r="HQI88" s="123"/>
      <c r="HQJ88" s="123"/>
      <c r="HQK88" s="123"/>
      <c r="HQL88" s="123"/>
      <c r="HQM88" s="123"/>
      <c r="HQN88" s="123"/>
      <c r="HQO88" s="123"/>
      <c r="HQP88" s="123"/>
      <c r="HQQ88" s="123"/>
      <c r="HQR88" s="123"/>
      <c r="HQS88" s="123"/>
      <c r="HQT88" s="123"/>
      <c r="HQU88" s="123"/>
      <c r="HQV88" s="123"/>
      <c r="HQW88" s="123"/>
      <c r="HQX88" s="123"/>
      <c r="HQY88" s="123"/>
      <c r="HQZ88" s="123"/>
      <c r="HRA88" s="123"/>
      <c r="HRB88" s="123"/>
      <c r="HRC88" s="123"/>
      <c r="HRD88" s="123"/>
      <c r="HRE88" s="123"/>
      <c r="HRF88" s="123"/>
      <c r="HRG88" s="123"/>
      <c r="HRH88" s="123"/>
      <c r="HRI88" s="123"/>
      <c r="HRJ88" s="123"/>
      <c r="HRK88" s="123"/>
      <c r="HRL88" s="123"/>
      <c r="HRM88" s="123"/>
      <c r="HRN88" s="123"/>
      <c r="HRO88" s="123"/>
      <c r="HRP88" s="123"/>
      <c r="HRQ88" s="123"/>
      <c r="HRR88" s="123"/>
      <c r="HRS88" s="123"/>
      <c r="HRT88" s="123"/>
      <c r="HRU88" s="123"/>
      <c r="HRV88" s="123"/>
      <c r="HRW88" s="123"/>
      <c r="HRX88" s="123"/>
      <c r="HRY88" s="123"/>
      <c r="HRZ88" s="123"/>
      <c r="HSA88" s="123"/>
      <c r="HSB88" s="123"/>
      <c r="HSC88" s="123"/>
      <c r="HSD88" s="123"/>
      <c r="HSE88" s="123"/>
      <c r="HSF88" s="123"/>
      <c r="HSG88" s="123"/>
      <c r="HSH88" s="123"/>
      <c r="HSI88" s="123"/>
      <c r="HSJ88" s="123"/>
      <c r="HSK88" s="123"/>
      <c r="HSL88" s="123"/>
      <c r="HSM88" s="123"/>
      <c r="HSN88" s="123"/>
      <c r="HSO88" s="123"/>
      <c r="HSP88" s="123"/>
      <c r="HSQ88" s="123"/>
      <c r="HSR88" s="123"/>
      <c r="HSS88" s="123"/>
      <c r="HST88" s="123"/>
      <c r="HSU88" s="123"/>
      <c r="HSV88" s="123"/>
      <c r="HSW88" s="123"/>
      <c r="HSX88" s="123"/>
      <c r="HSY88" s="123"/>
      <c r="HSZ88" s="123"/>
      <c r="HTA88" s="123"/>
      <c r="HTB88" s="123"/>
      <c r="HTC88" s="123"/>
      <c r="HTD88" s="123"/>
      <c r="HTE88" s="123"/>
      <c r="HTF88" s="123"/>
      <c r="HTG88" s="123"/>
      <c r="HTH88" s="123"/>
      <c r="HTI88" s="123"/>
      <c r="HTJ88" s="123"/>
      <c r="HTK88" s="123"/>
      <c r="HTL88" s="123"/>
      <c r="HTM88" s="123"/>
      <c r="HTN88" s="123"/>
      <c r="HTO88" s="123"/>
      <c r="HTP88" s="123"/>
      <c r="HTQ88" s="123"/>
      <c r="HTR88" s="123"/>
      <c r="HTS88" s="123"/>
      <c r="HTT88" s="123"/>
      <c r="HTU88" s="123"/>
      <c r="HTV88" s="123"/>
      <c r="HTW88" s="123"/>
      <c r="HTX88" s="123"/>
      <c r="HTY88" s="123"/>
      <c r="HTZ88" s="123"/>
      <c r="HUA88" s="123"/>
      <c r="HUB88" s="123"/>
      <c r="HUC88" s="123"/>
      <c r="HUD88" s="123"/>
      <c r="HUE88" s="123"/>
      <c r="HUF88" s="123"/>
      <c r="HUG88" s="123"/>
      <c r="HUH88" s="123"/>
      <c r="HUI88" s="123"/>
      <c r="HUJ88" s="123"/>
      <c r="HUK88" s="123"/>
      <c r="HUL88" s="123"/>
      <c r="HUM88" s="123"/>
      <c r="HUN88" s="123"/>
      <c r="HUO88" s="123"/>
      <c r="HUP88" s="123"/>
      <c r="HUQ88" s="123"/>
      <c r="HUR88" s="123"/>
      <c r="HUS88" s="123"/>
      <c r="HUT88" s="123"/>
      <c r="HUU88" s="123"/>
      <c r="HUV88" s="123"/>
      <c r="HUW88" s="123"/>
      <c r="HUX88" s="123"/>
      <c r="HUY88" s="123"/>
      <c r="HUZ88" s="123"/>
      <c r="HVA88" s="123"/>
      <c r="HVB88" s="123"/>
      <c r="HVC88" s="123"/>
      <c r="HVD88" s="123"/>
      <c r="HVE88" s="123"/>
      <c r="HVF88" s="123"/>
      <c r="HVG88" s="123"/>
      <c r="HVH88" s="123"/>
      <c r="HVI88" s="123"/>
      <c r="HVJ88" s="123"/>
      <c r="HVK88" s="123"/>
      <c r="HVL88" s="123"/>
      <c r="HVM88" s="123"/>
      <c r="HVN88" s="123"/>
      <c r="HVO88" s="123"/>
      <c r="HVP88" s="123"/>
      <c r="HVQ88" s="123"/>
      <c r="HVR88" s="123"/>
      <c r="HVS88" s="123"/>
      <c r="HVT88" s="123"/>
      <c r="HVU88" s="123"/>
      <c r="HVV88" s="123"/>
      <c r="HVW88" s="123"/>
      <c r="HVX88" s="123"/>
      <c r="HVY88" s="123"/>
      <c r="HVZ88" s="123"/>
      <c r="HWA88" s="123"/>
      <c r="HWB88" s="123"/>
      <c r="HWC88" s="123"/>
      <c r="HWD88" s="123"/>
      <c r="HWE88" s="123"/>
      <c r="HWF88" s="123"/>
      <c r="HWG88" s="123"/>
      <c r="HWH88" s="123"/>
      <c r="HWI88" s="123"/>
      <c r="HWJ88" s="123"/>
      <c r="HWK88" s="123"/>
      <c r="HWL88" s="123"/>
      <c r="HWM88" s="123"/>
      <c r="HWN88" s="123"/>
      <c r="HWO88" s="123"/>
      <c r="HWP88" s="123"/>
      <c r="HWQ88" s="123"/>
      <c r="HWR88" s="123"/>
      <c r="HWS88" s="123"/>
      <c r="HWT88" s="123"/>
      <c r="HWU88" s="123"/>
      <c r="HWV88" s="123"/>
      <c r="HWW88" s="123"/>
      <c r="HWX88" s="123"/>
      <c r="HWY88" s="123"/>
      <c r="HWZ88" s="123"/>
      <c r="HXA88" s="123"/>
      <c r="HXB88" s="123"/>
      <c r="HXC88" s="123"/>
      <c r="HXD88" s="123"/>
      <c r="HXE88" s="123"/>
      <c r="HXF88" s="123"/>
      <c r="HXG88" s="123"/>
      <c r="HXH88" s="123"/>
      <c r="HXI88" s="123"/>
      <c r="HXJ88" s="123"/>
      <c r="HXK88" s="123"/>
      <c r="HXL88" s="123"/>
      <c r="HXM88" s="123"/>
      <c r="HXN88" s="123"/>
      <c r="HXO88" s="123"/>
      <c r="HXP88" s="123"/>
      <c r="HXQ88" s="123"/>
      <c r="HXR88" s="123"/>
      <c r="HXS88" s="123"/>
      <c r="HXT88" s="123"/>
      <c r="HXU88" s="123"/>
      <c r="HXV88" s="123"/>
      <c r="HXW88" s="123"/>
      <c r="HXX88" s="123"/>
      <c r="HXY88" s="123"/>
      <c r="HXZ88" s="123"/>
      <c r="HYA88" s="123"/>
      <c r="HYB88" s="123"/>
      <c r="HYC88" s="123"/>
      <c r="HYD88" s="123"/>
      <c r="HYE88" s="123"/>
      <c r="HYF88" s="123"/>
      <c r="HYG88" s="123"/>
      <c r="HYH88" s="123"/>
      <c r="HYI88" s="123"/>
      <c r="HYJ88" s="123"/>
      <c r="HYK88" s="123"/>
      <c r="HYL88" s="123"/>
      <c r="HYM88" s="123"/>
      <c r="HYN88" s="123"/>
      <c r="HYO88" s="123"/>
      <c r="HYP88" s="123"/>
      <c r="HYQ88" s="123"/>
      <c r="HYR88" s="123"/>
      <c r="HYS88" s="123"/>
      <c r="HYT88" s="123"/>
      <c r="HYU88" s="123"/>
      <c r="HYV88" s="123"/>
      <c r="HYW88" s="123"/>
      <c r="HYX88" s="123"/>
      <c r="HYY88" s="123"/>
      <c r="HYZ88" s="123"/>
      <c r="HZA88" s="123"/>
      <c r="HZB88" s="123"/>
      <c r="HZC88" s="123"/>
      <c r="HZD88" s="123"/>
      <c r="HZE88" s="123"/>
      <c r="HZF88" s="123"/>
      <c r="HZG88" s="123"/>
      <c r="HZH88" s="123"/>
      <c r="HZI88" s="123"/>
      <c r="HZJ88" s="123"/>
      <c r="HZK88" s="123"/>
      <c r="HZL88" s="123"/>
      <c r="HZM88" s="123"/>
      <c r="HZN88" s="123"/>
      <c r="HZO88" s="123"/>
      <c r="HZP88" s="123"/>
      <c r="HZQ88" s="123"/>
      <c r="HZR88" s="123"/>
      <c r="HZS88" s="123"/>
      <c r="HZT88" s="123"/>
      <c r="HZU88" s="123"/>
      <c r="HZV88" s="123"/>
      <c r="HZW88" s="123"/>
      <c r="HZX88" s="123"/>
      <c r="HZY88" s="123"/>
      <c r="HZZ88" s="123"/>
      <c r="IAA88" s="123"/>
      <c r="IAB88" s="123"/>
      <c r="IAC88" s="123"/>
      <c r="IAD88" s="123"/>
      <c r="IAE88" s="123"/>
      <c r="IAF88" s="123"/>
      <c r="IAG88" s="123"/>
      <c r="IAH88" s="123"/>
      <c r="IAI88" s="123"/>
      <c r="IAJ88" s="123"/>
      <c r="IAK88" s="123"/>
      <c r="IAL88" s="123"/>
      <c r="IAM88" s="123"/>
      <c r="IAN88" s="123"/>
      <c r="IAO88" s="123"/>
      <c r="IAP88" s="123"/>
      <c r="IAQ88" s="123"/>
      <c r="IAR88" s="123"/>
      <c r="IAS88" s="123"/>
      <c r="IAT88" s="123"/>
      <c r="IAU88" s="123"/>
      <c r="IAV88" s="123"/>
      <c r="IAW88" s="123"/>
      <c r="IAX88" s="123"/>
      <c r="IAY88" s="123"/>
      <c r="IAZ88" s="123"/>
      <c r="IBA88" s="123"/>
      <c r="IBB88" s="123"/>
      <c r="IBC88" s="123"/>
      <c r="IBD88" s="123"/>
      <c r="IBE88" s="123"/>
      <c r="IBF88" s="123"/>
      <c r="IBG88" s="123"/>
      <c r="IBH88" s="123"/>
      <c r="IBI88" s="123"/>
      <c r="IBJ88" s="123"/>
      <c r="IBK88" s="123"/>
      <c r="IBL88" s="123"/>
      <c r="IBM88" s="123"/>
      <c r="IBN88" s="123"/>
      <c r="IBO88" s="123"/>
      <c r="IBP88" s="123"/>
      <c r="IBQ88" s="123"/>
      <c r="IBR88" s="123"/>
      <c r="IBS88" s="123"/>
      <c r="IBT88" s="123"/>
      <c r="IBU88" s="123"/>
      <c r="IBV88" s="123"/>
      <c r="IBW88" s="123"/>
      <c r="IBX88" s="123"/>
      <c r="IBY88" s="123"/>
      <c r="IBZ88" s="123"/>
      <c r="ICA88" s="123"/>
      <c r="ICB88" s="123"/>
      <c r="ICC88" s="123"/>
      <c r="ICD88" s="123"/>
      <c r="ICE88" s="123"/>
      <c r="ICF88" s="123"/>
      <c r="ICG88" s="123"/>
      <c r="ICH88" s="123"/>
      <c r="ICI88" s="123"/>
      <c r="ICJ88" s="123"/>
      <c r="ICK88" s="123"/>
      <c r="ICL88" s="123"/>
      <c r="ICM88" s="123"/>
      <c r="ICN88" s="123"/>
      <c r="ICO88" s="123"/>
      <c r="ICP88" s="123"/>
      <c r="ICQ88" s="123"/>
      <c r="ICR88" s="123"/>
      <c r="ICS88" s="123"/>
      <c r="ICT88" s="123"/>
      <c r="ICU88" s="123"/>
      <c r="ICV88" s="123"/>
      <c r="ICW88" s="123"/>
      <c r="ICX88" s="123"/>
      <c r="ICY88" s="123"/>
      <c r="ICZ88" s="123"/>
      <c r="IDA88" s="123"/>
      <c r="IDB88" s="123"/>
      <c r="IDC88" s="123"/>
      <c r="IDD88" s="123"/>
      <c r="IDE88" s="123"/>
      <c r="IDF88" s="123"/>
      <c r="IDG88" s="123"/>
      <c r="IDH88" s="123"/>
      <c r="IDI88" s="123"/>
      <c r="IDJ88" s="123"/>
      <c r="IDK88" s="123"/>
      <c r="IDL88" s="123"/>
      <c r="IDM88" s="123"/>
      <c r="IDN88" s="123"/>
      <c r="IDO88" s="123"/>
      <c r="IDP88" s="123"/>
      <c r="IDQ88" s="123"/>
      <c r="IDR88" s="123"/>
      <c r="IDS88" s="123"/>
      <c r="IDT88" s="123"/>
      <c r="IDU88" s="123"/>
      <c r="IDV88" s="123"/>
      <c r="IDW88" s="123"/>
      <c r="IDX88" s="123"/>
      <c r="IDY88" s="123"/>
      <c r="IDZ88" s="123"/>
      <c r="IEA88" s="123"/>
      <c r="IEB88" s="123"/>
      <c r="IEC88" s="123"/>
      <c r="IED88" s="123"/>
      <c r="IEE88" s="123"/>
      <c r="IEF88" s="123"/>
      <c r="IEG88" s="123"/>
      <c r="IEH88" s="123"/>
      <c r="IEI88" s="123"/>
      <c r="IEJ88" s="123"/>
      <c r="IEK88" s="123"/>
      <c r="IEL88" s="123"/>
      <c r="IEM88" s="123"/>
      <c r="IEN88" s="123"/>
      <c r="IEO88" s="123"/>
      <c r="IEP88" s="123"/>
      <c r="IEQ88" s="123"/>
      <c r="IER88" s="123"/>
      <c r="IES88" s="123"/>
      <c r="IET88" s="123"/>
      <c r="IEU88" s="123"/>
      <c r="IEV88" s="123"/>
      <c r="IEW88" s="123"/>
      <c r="IEX88" s="123"/>
      <c r="IEY88" s="123"/>
      <c r="IEZ88" s="123"/>
      <c r="IFA88" s="123"/>
      <c r="IFB88" s="123"/>
      <c r="IFC88" s="123"/>
      <c r="IFD88" s="123"/>
      <c r="IFE88" s="123"/>
      <c r="IFF88" s="123"/>
      <c r="IFG88" s="123"/>
      <c r="IFH88" s="123"/>
      <c r="IFI88" s="123"/>
      <c r="IFJ88" s="123"/>
      <c r="IFK88" s="123"/>
      <c r="IFL88" s="123"/>
      <c r="IFM88" s="123"/>
      <c r="IFN88" s="123"/>
      <c r="IFO88" s="123"/>
      <c r="IFP88" s="123"/>
      <c r="IFQ88" s="123"/>
      <c r="IFR88" s="123"/>
      <c r="IFS88" s="123"/>
      <c r="IFT88" s="123"/>
      <c r="IFU88" s="123"/>
      <c r="IFV88" s="123"/>
      <c r="IFW88" s="123"/>
      <c r="IFX88" s="123"/>
      <c r="IFY88" s="123"/>
      <c r="IFZ88" s="123"/>
      <c r="IGA88" s="123"/>
      <c r="IGB88" s="123"/>
      <c r="IGC88" s="123"/>
      <c r="IGD88" s="123"/>
      <c r="IGE88" s="123"/>
      <c r="IGF88" s="123"/>
      <c r="IGG88" s="123"/>
      <c r="IGH88" s="123"/>
      <c r="IGI88" s="123"/>
      <c r="IGJ88" s="123"/>
      <c r="IGK88" s="123"/>
      <c r="IGL88" s="123"/>
      <c r="IGM88" s="123"/>
      <c r="IGN88" s="123"/>
      <c r="IGO88" s="123"/>
      <c r="IGP88" s="123"/>
      <c r="IGQ88" s="123"/>
      <c r="IGR88" s="123"/>
      <c r="IGS88" s="123"/>
      <c r="IGT88" s="123"/>
      <c r="IGU88" s="123"/>
      <c r="IGV88" s="123"/>
      <c r="IGW88" s="123"/>
      <c r="IGX88" s="123"/>
      <c r="IGY88" s="123"/>
      <c r="IGZ88" s="123"/>
      <c r="IHA88" s="123"/>
      <c r="IHB88" s="123"/>
      <c r="IHC88" s="123"/>
      <c r="IHD88" s="123"/>
      <c r="IHE88" s="123"/>
      <c r="IHF88" s="123"/>
      <c r="IHG88" s="123"/>
      <c r="IHH88" s="123"/>
      <c r="IHI88" s="123"/>
      <c r="IHJ88" s="123"/>
      <c r="IHK88" s="123"/>
      <c r="IHL88" s="123"/>
      <c r="IHM88" s="123"/>
      <c r="IHN88" s="123"/>
      <c r="IHO88" s="123"/>
      <c r="IHP88" s="123"/>
      <c r="IHQ88" s="123"/>
      <c r="IHR88" s="123"/>
      <c r="IHS88" s="123"/>
      <c r="IHT88" s="123"/>
      <c r="IHU88" s="123"/>
      <c r="IHV88" s="123"/>
      <c r="IHW88" s="123"/>
      <c r="IHX88" s="123"/>
      <c r="IHY88" s="123"/>
      <c r="IHZ88" s="123"/>
      <c r="IIA88" s="123"/>
      <c r="IIB88" s="123"/>
      <c r="IIC88" s="123"/>
      <c r="IID88" s="123"/>
      <c r="IIE88" s="123"/>
      <c r="IIF88" s="123"/>
      <c r="IIG88" s="123"/>
      <c r="IIH88" s="123"/>
      <c r="III88" s="123"/>
      <c r="IIJ88" s="123"/>
      <c r="IIK88" s="123"/>
      <c r="IIL88" s="123"/>
      <c r="IIM88" s="123"/>
      <c r="IIN88" s="123"/>
      <c r="IIO88" s="123"/>
      <c r="IIP88" s="123"/>
      <c r="IIQ88" s="123"/>
      <c r="IIR88" s="123"/>
      <c r="IIS88" s="123"/>
      <c r="IIT88" s="123"/>
      <c r="IIU88" s="123"/>
      <c r="IIV88" s="123"/>
      <c r="IIW88" s="123"/>
      <c r="IIX88" s="123"/>
      <c r="IIY88" s="123"/>
      <c r="IIZ88" s="123"/>
      <c r="IJA88" s="123"/>
      <c r="IJB88" s="123"/>
      <c r="IJC88" s="123"/>
      <c r="IJD88" s="123"/>
      <c r="IJE88" s="123"/>
      <c r="IJF88" s="123"/>
      <c r="IJG88" s="123"/>
      <c r="IJH88" s="123"/>
      <c r="IJI88" s="123"/>
      <c r="IJJ88" s="123"/>
      <c r="IJK88" s="123"/>
      <c r="IJL88" s="123"/>
      <c r="IJM88" s="123"/>
      <c r="IJN88" s="123"/>
      <c r="IJO88" s="123"/>
      <c r="IJP88" s="123"/>
      <c r="IJQ88" s="123"/>
      <c r="IJR88" s="123"/>
      <c r="IJS88" s="123"/>
      <c r="IJT88" s="123"/>
      <c r="IJU88" s="123"/>
      <c r="IJV88" s="123"/>
      <c r="IJW88" s="123"/>
      <c r="IJX88" s="123"/>
      <c r="IJY88" s="123"/>
      <c r="IJZ88" s="123"/>
      <c r="IKA88" s="123"/>
      <c r="IKB88" s="123"/>
      <c r="IKC88" s="123"/>
      <c r="IKD88" s="123"/>
      <c r="IKE88" s="123"/>
      <c r="IKF88" s="123"/>
      <c r="IKG88" s="123"/>
      <c r="IKH88" s="123"/>
      <c r="IKI88" s="123"/>
      <c r="IKJ88" s="123"/>
      <c r="IKK88" s="123"/>
      <c r="IKL88" s="123"/>
      <c r="IKM88" s="123"/>
      <c r="IKN88" s="123"/>
      <c r="IKO88" s="123"/>
      <c r="IKP88" s="123"/>
      <c r="IKQ88" s="123"/>
      <c r="IKR88" s="123"/>
      <c r="IKS88" s="123"/>
      <c r="IKT88" s="123"/>
      <c r="IKU88" s="123"/>
      <c r="IKV88" s="123"/>
      <c r="IKW88" s="123"/>
      <c r="IKX88" s="123"/>
      <c r="IKY88" s="123"/>
      <c r="IKZ88" s="123"/>
      <c r="ILA88" s="123"/>
      <c r="ILB88" s="123"/>
      <c r="ILC88" s="123"/>
      <c r="ILD88" s="123"/>
      <c r="ILE88" s="123"/>
      <c r="ILF88" s="123"/>
      <c r="ILG88" s="123"/>
      <c r="ILH88" s="123"/>
      <c r="ILI88" s="123"/>
      <c r="ILJ88" s="123"/>
      <c r="ILK88" s="123"/>
      <c r="ILL88" s="123"/>
      <c r="ILM88" s="123"/>
      <c r="ILN88" s="123"/>
      <c r="ILO88" s="123"/>
      <c r="ILP88" s="123"/>
      <c r="ILQ88" s="123"/>
      <c r="ILR88" s="123"/>
      <c r="ILS88" s="123"/>
      <c r="ILT88" s="123"/>
      <c r="ILU88" s="123"/>
      <c r="ILV88" s="123"/>
      <c r="ILW88" s="123"/>
      <c r="ILX88" s="123"/>
      <c r="ILY88" s="123"/>
      <c r="ILZ88" s="123"/>
      <c r="IMA88" s="123"/>
      <c r="IMB88" s="123"/>
      <c r="IMC88" s="123"/>
      <c r="IMD88" s="123"/>
      <c r="IME88" s="123"/>
      <c r="IMF88" s="123"/>
      <c r="IMG88" s="123"/>
      <c r="IMH88" s="123"/>
      <c r="IMI88" s="123"/>
      <c r="IMJ88" s="123"/>
      <c r="IMK88" s="123"/>
      <c r="IML88" s="123"/>
      <c r="IMM88" s="123"/>
      <c r="IMN88" s="123"/>
      <c r="IMO88" s="123"/>
      <c r="IMP88" s="123"/>
      <c r="IMQ88" s="123"/>
      <c r="IMR88" s="123"/>
      <c r="IMS88" s="123"/>
      <c r="IMT88" s="123"/>
      <c r="IMU88" s="123"/>
      <c r="IMV88" s="123"/>
      <c r="IMW88" s="123"/>
      <c r="IMX88" s="123"/>
      <c r="IMY88" s="123"/>
      <c r="IMZ88" s="123"/>
      <c r="INA88" s="123"/>
      <c r="INB88" s="123"/>
      <c r="INC88" s="123"/>
      <c r="IND88" s="123"/>
      <c r="INE88" s="123"/>
      <c r="INF88" s="123"/>
      <c r="ING88" s="123"/>
      <c r="INH88" s="123"/>
      <c r="INI88" s="123"/>
      <c r="INJ88" s="123"/>
      <c r="INK88" s="123"/>
      <c r="INL88" s="123"/>
      <c r="INM88" s="123"/>
      <c r="INN88" s="123"/>
      <c r="INO88" s="123"/>
      <c r="INP88" s="123"/>
      <c r="INQ88" s="123"/>
      <c r="INR88" s="123"/>
      <c r="INS88" s="123"/>
      <c r="INT88" s="123"/>
      <c r="INU88" s="123"/>
      <c r="INV88" s="123"/>
      <c r="INW88" s="123"/>
      <c r="INX88" s="123"/>
      <c r="INY88" s="123"/>
      <c r="INZ88" s="123"/>
      <c r="IOA88" s="123"/>
      <c r="IOB88" s="123"/>
      <c r="IOC88" s="123"/>
      <c r="IOD88" s="123"/>
      <c r="IOE88" s="123"/>
      <c r="IOF88" s="123"/>
      <c r="IOG88" s="123"/>
      <c r="IOH88" s="123"/>
      <c r="IOI88" s="123"/>
      <c r="IOJ88" s="123"/>
      <c r="IOK88" s="123"/>
      <c r="IOL88" s="123"/>
      <c r="IOM88" s="123"/>
      <c r="ION88" s="123"/>
      <c r="IOO88" s="123"/>
      <c r="IOP88" s="123"/>
      <c r="IOQ88" s="123"/>
      <c r="IOR88" s="123"/>
      <c r="IOS88" s="123"/>
      <c r="IOT88" s="123"/>
      <c r="IOU88" s="123"/>
      <c r="IOV88" s="123"/>
      <c r="IOW88" s="123"/>
      <c r="IOX88" s="123"/>
      <c r="IOY88" s="123"/>
      <c r="IOZ88" s="123"/>
      <c r="IPA88" s="123"/>
      <c r="IPB88" s="123"/>
      <c r="IPC88" s="123"/>
      <c r="IPD88" s="123"/>
      <c r="IPE88" s="123"/>
      <c r="IPF88" s="123"/>
      <c r="IPG88" s="123"/>
      <c r="IPH88" s="123"/>
      <c r="IPI88" s="123"/>
      <c r="IPJ88" s="123"/>
      <c r="IPK88" s="123"/>
      <c r="IPL88" s="123"/>
      <c r="IPM88" s="123"/>
      <c r="IPN88" s="123"/>
      <c r="IPO88" s="123"/>
      <c r="IPP88" s="123"/>
      <c r="IPQ88" s="123"/>
      <c r="IPR88" s="123"/>
      <c r="IPS88" s="123"/>
      <c r="IPT88" s="123"/>
      <c r="IPU88" s="123"/>
      <c r="IPV88" s="123"/>
      <c r="IPW88" s="123"/>
      <c r="IPX88" s="123"/>
      <c r="IPY88" s="123"/>
      <c r="IPZ88" s="123"/>
      <c r="IQA88" s="123"/>
      <c r="IQB88" s="123"/>
      <c r="IQC88" s="123"/>
      <c r="IQD88" s="123"/>
      <c r="IQE88" s="123"/>
      <c r="IQF88" s="123"/>
      <c r="IQG88" s="123"/>
      <c r="IQH88" s="123"/>
      <c r="IQI88" s="123"/>
      <c r="IQJ88" s="123"/>
      <c r="IQK88" s="123"/>
      <c r="IQL88" s="123"/>
      <c r="IQM88" s="123"/>
      <c r="IQN88" s="123"/>
      <c r="IQO88" s="123"/>
      <c r="IQP88" s="123"/>
      <c r="IQQ88" s="123"/>
      <c r="IQR88" s="123"/>
      <c r="IQS88" s="123"/>
      <c r="IQT88" s="123"/>
      <c r="IQU88" s="123"/>
      <c r="IQV88" s="123"/>
      <c r="IQW88" s="123"/>
      <c r="IQX88" s="123"/>
      <c r="IQY88" s="123"/>
      <c r="IQZ88" s="123"/>
      <c r="IRA88" s="123"/>
      <c r="IRB88" s="123"/>
      <c r="IRC88" s="123"/>
      <c r="IRD88" s="123"/>
      <c r="IRE88" s="123"/>
      <c r="IRF88" s="123"/>
      <c r="IRG88" s="123"/>
      <c r="IRH88" s="123"/>
      <c r="IRI88" s="123"/>
      <c r="IRJ88" s="123"/>
      <c r="IRK88" s="123"/>
      <c r="IRL88" s="123"/>
      <c r="IRM88" s="123"/>
      <c r="IRN88" s="123"/>
      <c r="IRO88" s="123"/>
      <c r="IRP88" s="123"/>
      <c r="IRQ88" s="123"/>
      <c r="IRR88" s="123"/>
      <c r="IRS88" s="123"/>
      <c r="IRT88" s="123"/>
      <c r="IRU88" s="123"/>
      <c r="IRV88" s="123"/>
      <c r="IRW88" s="123"/>
      <c r="IRX88" s="123"/>
      <c r="IRY88" s="123"/>
      <c r="IRZ88" s="123"/>
      <c r="ISA88" s="123"/>
      <c r="ISB88" s="123"/>
      <c r="ISC88" s="123"/>
      <c r="ISD88" s="123"/>
      <c r="ISE88" s="123"/>
      <c r="ISF88" s="123"/>
      <c r="ISG88" s="123"/>
      <c r="ISH88" s="123"/>
      <c r="ISI88" s="123"/>
      <c r="ISJ88" s="123"/>
      <c r="ISK88" s="123"/>
      <c r="ISL88" s="123"/>
      <c r="ISM88" s="123"/>
      <c r="ISN88" s="123"/>
      <c r="ISO88" s="123"/>
      <c r="ISP88" s="123"/>
      <c r="ISQ88" s="123"/>
      <c r="ISR88" s="123"/>
      <c r="ISS88" s="123"/>
      <c r="IST88" s="123"/>
      <c r="ISU88" s="123"/>
      <c r="ISV88" s="123"/>
      <c r="ISW88" s="123"/>
      <c r="ISX88" s="123"/>
      <c r="ISY88" s="123"/>
      <c r="ISZ88" s="123"/>
      <c r="ITA88" s="123"/>
      <c r="ITB88" s="123"/>
      <c r="ITC88" s="123"/>
      <c r="ITD88" s="123"/>
      <c r="ITE88" s="123"/>
      <c r="ITF88" s="123"/>
      <c r="ITG88" s="123"/>
      <c r="ITH88" s="123"/>
      <c r="ITI88" s="123"/>
      <c r="ITJ88" s="123"/>
      <c r="ITK88" s="123"/>
      <c r="ITL88" s="123"/>
      <c r="ITM88" s="123"/>
      <c r="ITN88" s="123"/>
      <c r="ITO88" s="123"/>
      <c r="ITP88" s="123"/>
      <c r="ITQ88" s="123"/>
      <c r="ITR88" s="123"/>
      <c r="ITS88" s="123"/>
      <c r="ITT88" s="123"/>
      <c r="ITU88" s="123"/>
      <c r="ITV88" s="123"/>
      <c r="ITW88" s="123"/>
      <c r="ITX88" s="123"/>
      <c r="ITY88" s="123"/>
      <c r="ITZ88" s="123"/>
      <c r="IUA88" s="123"/>
      <c r="IUB88" s="123"/>
      <c r="IUC88" s="123"/>
      <c r="IUD88" s="123"/>
      <c r="IUE88" s="123"/>
      <c r="IUF88" s="123"/>
      <c r="IUG88" s="123"/>
      <c r="IUH88" s="123"/>
      <c r="IUI88" s="123"/>
      <c r="IUJ88" s="123"/>
      <c r="IUK88" s="123"/>
      <c r="IUL88" s="123"/>
      <c r="IUM88" s="123"/>
      <c r="IUN88" s="123"/>
      <c r="IUO88" s="123"/>
      <c r="IUP88" s="123"/>
      <c r="IUQ88" s="123"/>
      <c r="IUR88" s="123"/>
      <c r="IUS88" s="123"/>
      <c r="IUT88" s="123"/>
      <c r="IUU88" s="123"/>
      <c r="IUV88" s="123"/>
      <c r="IUW88" s="123"/>
      <c r="IUX88" s="123"/>
      <c r="IUY88" s="123"/>
      <c r="IUZ88" s="123"/>
      <c r="IVA88" s="123"/>
      <c r="IVB88" s="123"/>
      <c r="IVC88" s="123"/>
      <c r="IVD88" s="123"/>
      <c r="IVE88" s="123"/>
      <c r="IVF88" s="123"/>
      <c r="IVG88" s="123"/>
      <c r="IVH88" s="123"/>
      <c r="IVI88" s="123"/>
      <c r="IVJ88" s="123"/>
      <c r="IVK88" s="123"/>
      <c r="IVL88" s="123"/>
      <c r="IVM88" s="123"/>
      <c r="IVN88" s="123"/>
      <c r="IVO88" s="123"/>
      <c r="IVP88" s="123"/>
      <c r="IVQ88" s="123"/>
      <c r="IVR88" s="123"/>
      <c r="IVS88" s="123"/>
      <c r="IVT88" s="123"/>
      <c r="IVU88" s="123"/>
      <c r="IVV88" s="123"/>
      <c r="IVW88" s="123"/>
      <c r="IVX88" s="123"/>
      <c r="IVY88" s="123"/>
      <c r="IVZ88" s="123"/>
      <c r="IWA88" s="123"/>
      <c r="IWB88" s="123"/>
      <c r="IWC88" s="123"/>
      <c r="IWD88" s="123"/>
      <c r="IWE88" s="123"/>
      <c r="IWF88" s="123"/>
      <c r="IWG88" s="123"/>
      <c r="IWH88" s="123"/>
      <c r="IWI88" s="123"/>
      <c r="IWJ88" s="123"/>
      <c r="IWK88" s="123"/>
      <c r="IWL88" s="123"/>
      <c r="IWM88" s="123"/>
      <c r="IWN88" s="123"/>
      <c r="IWO88" s="123"/>
      <c r="IWP88" s="123"/>
      <c r="IWQ88" s="123"/>
      <c r="IWR88" s="123"/>
      <c r="IWS88" s="123"/>
      <c r="IWT88" s="123"/>
      <c r="IWU88" s="123"/>
      <c r="IWV88" s="123"/>
      <c r="IWW88" s="123"/>
      <c r="IWX88" s="123"/>
      <c r="IWY88" s="123"/>
      <c r="IWZ88" s="123"/>
      <c r="IXA88" s="123"/>
      <c r="IXB88" s="123"/>
      <c r="IXC88" s="123"/>
      <c r="IXD88" s="123"/>
      <c r="IXE88" s="123"/>
      <c r="IXF88" s="123"/>
      <c r="IXG88" s="123"/>
      <c r="IXH88" s="123"/>
      <c r="IXI88" s="123"/>
      <c r="IXJ88" s="123"/>
      <c r="IXK88" s="123"/>
      <c r="IXL88" s="123"/>
      <c r="IXM88" s="123"/>
      <c r="IXN88" s="123"/>
      <c r="IXO88" s="123"/>
      <c r="IXP88" s="123"/>
      <c r="IXQ88" s="123"/>
      <c r="IXR88" s="123"/>
      <c r="IXS88" s="123"/>
      <c r="IXT88" s="123"/>
      <c r="IXU88" s="123"/>
      <c r="IXV88" s="123"/>
      <c r="IXW88" s="123"/>
      <c r="IXX88" s="123"/>
      <c r="IXY88" s="123"/>
      <c r="IXZ88" s="123"/>
      <c r="IYA88" s="123"/>
      <c r="IYB88" s="123"/>
      <c r="IYC88" s="123"/>
      <c r="IYD88" s="123"/>
      <c r="IYE88" s="123"/>
      <c r="IYF88" s="123"/>
      <c r="IYG88" s="123"/>
      <c r="IYH88" s="123"/>
      <c r="IYI88" s="123"/>
      <c r="IYJ88" s="123"/>
      <c r="IYK88" s="123"/>
      <c r="IYL88" s="123"/>
      <c r="IYM88" s="123"/>
      <c r="IYN88" s="123"/>
      <c r="IYO88" s="123"/>
      <c r="IYP88" s="123"/>
      <c r="IYQ88" s="123"/>
      <c r="IYR88" s="123"/>
      <c r="IYS88" s="123"/>
      <c r="IYT88" s="123"/>
      <c r="IYU88" s="123"/>
      <c r="IYV88" s="123"/>
      <c r="IYW88" s="123"/>
      <c r="IYX88" s="123"/>
      <c r="IYY88" s="123"/>
      <c r="IYZ88" s="123"/>
      <c r="IZA88" s="123"/>
      <c r="IZB88" s="123"/>
      <c r="IZC88" s="123"/>
      <c r="IZD88" s="123"/>
      <c r="IZE88" s="123"/>
      <c r="IZF88" s="123"/>
      <c r="IZG88" s="123"/>
      <c r="IZH88" s="123"/>
      <c r="IZI88" s="123"/>
      <c r="IZJ88" s="123"/>
      <c r="IZK88" s="123"/>
      <c r="IZL88" s="123"/>
      <c r="IZM88" s="123"/>
      <c r="IZN88" s="123"/>
      <c r="IZO88" s="123"/>
      <c r="IZP88" s="123"/>
      <c r="IZQ88" s="123"/>
      <c r="IZR88" s="123"/>
      <c r="IZS88" s="123"/>
      <c r="IZT88" s="123"/>
      <c r="IZU88" s="123"/>
      <c r="IZV88" s="123"/>
      <c r="IZW88" s="123"/>
      <c r="IZX88" s="123"/>
      <c r="IZY88" s="123"/>
      <c r="IZZ88" s="123"/>
      <c r="JAA88" s="123"/>
      <c r="JAB88" s="123"/>
      <c r="JAC88" s="123"/>
      <c r="JAD88" s="123"/>
      <c r="JAE88" s="123"/>
      <c r="JAF88" s="123"/>
      <c r="JAG88" s="123"/>
      <c r="JAH88" s="123"/>
      <c r="JAI88" s="123"/>
      <c r="JAJ88" s="123"/>
      <c r="JAK88" s="123"/>
      <c r="JAL88" s="123"/>
      <c r="JAM88" s="123"/>
      <c r="JAN88" s="123"/>
      <c r="JAO88" s="123"/>
      <c r="JAP88" s="123"/>
      <c r="JAQ88" s="123"/>
      <c r="JAR88" s="123"/>
      <c r="JAS88" s="123"/>
      <c r="JAT88" s="123"/>
      <c r="JAU88" s="123"/>
      <c r="JAV88" s="123"/>
      <c r="JAW88" s="123"/>
      <c r="JAX88" s="123"/>
      <c r="JAY88" s="123"/>
      <c r="JAZ88" s="123"/>
      <c r="JBA88" s="123"/>
      <c r="JBB88" s="123"/>
      <c r="JBC88" s="123"/>
      <c r="JBD88" s="123"/>
      <c r="JBE88" s="123"/>
      <c r="JBF88" s="123"/>
      <c r="JBG88" s="123"/>
      <c r="JBH88" s="123"/>
      <c r="JBI88" s="123"/>
      <c r="JBJ88" s="123"/>
      <c r="JBK88" s="123"/>
      <c r="JBL88" s="123"/>
      <c r="JBM88" s="123"/>
      <c r="JBN88" s="123"/>
      <c r="JBO88" s="123"/>
      <c r="JBP88" s="123"/>
      <c r="JBQ88" s="123"/>
      <c r="JBR88" s="123"/>
      <c r="JBS88" s="123"/>
      <c r="JBT88" s="123"/>
      <c r="JBU88" s="123"/>
      <c r="JBV88" s="123"/>
      <c r="JBW88" s="123"/>
      <c r="JBX88" s="123"/>
      <c r="JBY88" s="123"/>
      <c r="JBZ88" s="123"/>
      <c r="JCA88" s="123"/>
      <c r="JCB88" s="123"/>
      <c r="JCC88" s="123"/>
      <c r="JCD88" s="123"/>
      <c r="JCE88" s="123"/>
      <c r="JCF88" s="123"/>
      <c r="JCG88" s="123"/>
      <c r="JCH88" s="123"/>
      <c r="JCI88" s="123"/>
      <c r="JCJ88" s="123"/>
      <c r="JCK88" s="123"/>
      <c r="JCL88" s="123"/>
      <c r="JCM88" s="123"/>
      <c r="JCN88" s="123"/>
      <c r="JCO88" s="123"/>
      <c r="JCP88" s="123"/>
      <c r="JCQ88" s="123"/>
      <c r="JCR88" s="123"/>
      <c r="JCS88" s="123"/>
      <c r="JCT88" s="123"/>
      <c r="JCU88" s="123"/>
      <c r="JCV88" s="123"/>
      <c r="JCW88" s="123"/>
      <c r="JCX88" s="123"/>
      <c r="JCY88" s="123"/>
      <c r="JCZ88" s="123"/>
      <c r="JDA88" s="123"/>
      <c r="JDB88" s="123"/>
      <c r="JDC88" s="123"/>
      <c r="JDD88" s="123"/>
      <c r="JDE88" s="123"/>
      <c r="JDF88" s="123"/>
      <c r="JDG88" s="123"/>
      <c r="JDH88" s="123"/>
      <c r="JDI88" s="123"/>
      <c r="JDJ88" s="123"/>
      <c r="JDK88" s="123"/>
      <c r="JDL88" s="123"/>
      <c r="JDM88" s="123"/>
      <c r="JDN88" s="123"/>
      <c r="JDO88" s="123"/>
      <c r="JDP88" s="123"/>
      <c r="JDQ88" s="123"/>
      <c r="JDR88" s="123"/>
      <c r="JDS88" s="123"/>
      <c r="JDT88" s="123"/>
      <c r="JDU88" s="123"/>
      <c r="JDV88" s="123"/>
      <c r="JDW88" s="123"/>
      <c r="JDX88" s="123"/>
      <c r="JDY88" s="123"/>
      <c r="JDZ88" s="123"/>
      <c r="JEA88" s="123"/>
      <c r="JEB88" s="123"/>
      <c r="JEC88" s="123"/>
      <c r="JED88" s="123"/>
      <c r="JEE88" s="123"/>
      <c r="JEF88" s="123"/>
      <c r="JEG88" s="123"/>
      <c r="JEH88" s="123"/>
      <c r="JEI88" s="123"/>
      <c r="JEJ88" s="123"/>
      <c r="JEK88" s="123"/>
      <c r="JEL88" s="123"/>
      <c r="JEM88" s="123"/>
      <c r="JEN88" s="123"/>
      <c r="JEO88" s="123"/>
      <c r="JEP88" s="123"/>
      <c r="JEQ88" s="123"/>
      <c r="JER88" s="123"/>
      <c r="JES88" s="123"/>
      <c r="JET88" s="123"/>
      <c r="JEU88" s="123"/>
      <c r="JEV88" s="123"/>
      <c r="JEW88" s="123"/>
      <c r="JEX88" s="123"/>
      <c r="JEY88" s="123"/>
      <c r="JEZ88" s="123"/>
      <c r="JFA88" s="123"/>
      <c r="JFB88" s="123"/>
      <c r="JFC88" s="123"/>
      <c r="JFD88" s="123"/>
      <c r="JFE88" s="123"/>
      <c r="JFF88" s="123"/>
      <c r="JFG88" s="123"/>
      <c r="JFH88" s="123"/>
      <c r="JFI88" s="123"/>
      <c r="JFJ88" s="123"/>
      <c r="JFK88" s="123"/>
      <c r="JFL88" s="123"/>
      <c r="JFM88" s="123"/>
      <c r="JFN88" s="123"/>
      <c r="JFO88" s="123"/>
      <c r="JFP88" s="123"/>
      <c r="JFQ88" s="123"/>
      <c r="JFR88" s="123"/>
      <c r="JFS88" s="123"/>
      <c r="JFT88" s="123"/>
      <c r="JFU88" s="123"/>
      <c r="JFV88" s="123"/>
      <c r="JFW88" s="123"/>
      <c r="JFX88" s="123"/>
      <c r="JFY88" s="123"/>
      <c r="JFZ88" s="123"/>
      <c r="JGA88" s="123"/>
      <c r="JGB88" s="123"/>
      <c r="JGC88" s="123"/>
      <c r="JGD88" s="123"/>
      <c r="JGE88" s="123"/>
      <c r="JGF88" s="123"/>
      <c r="JGG88" s="123"/>
      <c r="JGH88" s="123"/>
      <c r="JGI88" s="123"/>
      <c r="JGJ88" s="123"/>
      <c r="JGK88" s="123"/>
      <c r="JGL88" s="123"/>
      <c r="JGM88" s="123"/>
      <c r="JGN88" s="123"/>
      <c r="JGO88" s="123"/>
      <c r="JGP88" s="123"/>
      <c r="JGQ88" s="123"/>
      <c r="JGR88" s="123"/>
      <c r="JGS88" s="123"/>
      <c r="JGT88" s="123"/>
      <c r="JGU88" s="123"/>
      <c r="JGV88" s="123"/>
      <c r="JGW88" s="123"/>
      <c r="JGX88" s="123"/>
      <c r="JGY88" s="123"/>
      <c r="JGZ88" s="123"/>
      <c r="JHA88" s="123"/>
      <c r="JHB88" s="123"/>
      <c r="JHC88" s="123"/>
      <c r="JHD88" s="123"/>
      <c r="JHE88" s="123"/>
      <c r="JHF88" s="123"/>
      <c r="JHG88" s="123"/>
      <c r="JHH88" s="123"/>
      <c r="JHI88" s="123"/>
      <c r="JHJ88" s="123"/>
      <c r="JHK88" s="123"/>
      <c r="JHL88" s="123"/>
      <c r="JHM88" s="123"/>
      <c r="JHN88" s="123"/>
      <c r="JHO88" s="123"/>
      <c r="JHP88" s="123"/>
      <c r="JHQ88" s="123"/>
      <c r="JHR88" s="123"/>
      <c r="JHS88" s="123"/>
      <c r="JHT88" s="123"/>
      <c r="JHU88" s="123"/>
      <c r="JHV88" s="123"/>
      <c r="JHW88" s="123"/>
      <c r="JHX88" s="123"/>
      <c r="JHY88" s="123"/>
      <c r="JHZ88" s="123"/>
      <c r="JIA88" s="123"/>
      <c r="JIB88" s="123"/>
      <c r="JIC88" s="123"/>
      <c r="JID88" s="123"/>
      <c r="JIE88" s="123"/>
      <c r="JIF88" s="123"/>
      <c r="JIG88" s="123"/>
      <c r="JIH88" s="123"/>
      <c r="JII88" s="123"/>
      <c r="JIJ88" s="123"/>
      <c r="JIK88" s="123"/>
      <c r="JIL88" s="123"/>
      <c r="JIM88" s="123"/>
      <c r="JIN88" s="123"/>
      <c r="JIO88" s="123"/>
      <c r="JIP88" s="123"/>
      <c r="JIQ88" s="123"/>
      <c r="JIR88" s="123"/>
      <c r="JIS88" s="123"/>
      <c r="JIT88" s="123"/>
      <c r="JIU88" s="123"/>
      <c r="JIV88" s="123"/>
      <c r="JIW88" s="123"/>
      <c r="JIX88" s="123"/>
      <c r="JIY88" s="123"/>
      <c r="JIZ88" s="123"/>
      <c r="JJA88" s="123"/>
      <c r="JJB88" s="123"/>
      <c r="JJC88" s="123"/>
      <c r="JJD88" s="123"/>
      <c r="JJE88" s="123"/>
      <c r="JJF88" s="123"/>
      <c r="JJG88" s="123"/>
      <c r="JJH88" s="123"/>
      <c r="JJI88" s="123"/>
      <c r="JJJ88" s="123"/>
      <c r="JJK88" s="123"/>
      <c r="JJL88" s="123"/>
      <c r="JJM88" s="123"/>
      <c r="JJN88" s="123"/>
      <c r="JJO88" s="123"/>
      <c r="JJP88" s="123"/>
      <c r="JJQ88" s="123"/>
      <c r="JJR88" s="123"/>
      <c r="JJS88" s="123"/>
      <c r="JJT88" s="123"/>
      <c r="JJU88" s="123"/>
      <c r="JJV88" s="123"/>
      <c r="JJW88" s="123"/>
      <c r="JJX88" s="123"/>
      <c r="JJY88" s="123"/>
      <c r="JJZ88" s="123"/>
      <c r="JKA88" s="123"/>
      <c r="JKB88" s="123"/>
      <c r="JKC88" s="123"/>
      <c r="JKD88" s="123"/>
      <c r="JKE88" s="123"/>
      <c r="JKF88" s="123"/>
      <c r="JKG88" s="123"/>
      <c r="JKH88" s="123"/>
      <c r="JKI88" s="123"/>
      <c r="JKJ88" s="123"/>
      <c r="JKK88" s="123"/>
      <c r="JKL88" s="123"/>
      <c r="JKM88" s="123"/>
      <c r="JKN88" s="123"/>
      <c r="JKO88" s="123"/>
      <c r="JKP88" s="123"/>
      <c r="JKQ88" s="123"/>
      <c r="JKR88" s="123"/>
      <c r="JKS88" s="123"/>
      <c r="JKT88" s="123"/>
      <c r="JKU88" s="123"/>
      <c r="JKV88" s="123"/>
      <c r="JKW88" s="123"/>
      <c r="JKX88" s="123"/>
      <c r="JKY88" s="123"/>
      <c r="JKZ88" s="123"/>
      <c r="JLA88" s="123"/>
      <c r="JLB88" s="123"/>
      <c r="JLC88" s="123"/>
      <c r="JLD88" s="123"/>
      <c r="JLE88" s="123"/>
      <c r="JLF88" s="123"/>
      <c r="JLG88" s="123"/>
      <c r="JLH88" s="123"/>
      <c r="JLI88" s="123"/>
      <c r="JLJ88" s="123"/>
      <c r="JLK88" s="123"/>
      <c r="JLL88" s="123"/>
      <c r="JLM88" s="123"/>
      <c r="JLN88" s="123"/>
      <c r="JLO88" s="123"/>
      <c r="JLP88" s="123"/>
      <c r="JLQ88" s="123"/>
      <c r="JLR88" s="123"/>
      <c r="JLS88" s="123"/>
      <c r="JLT88" s="123"/>
      <c r="JLU88" s="123"/>
      <c r="JLV88" s="123"/>
      <c r="JLW88" s="123"/>
      <c r="JLX88" s="123"/>
      <c r="JLY88" s="123"/>
      <c r="JLZ88" s="123"/>
      <c r="JMA88" s="123"/>
      <c r="JMB88" s="123"/>
      <c r="JMC88" s="123"/>
      <c r="JMD88" s="123"/>
      <c r="JME88" s="123"/>
      <c r="JMF88" s="123"/>
      <c r="JMG88" s="123"/>
      <c r="JMH88" s="123"/>
      <c r="JMI88" s="123"/>
      <c r="JMJ88" s="123"/>
      <c r="JMK88" s="123"/>
      <c r="JML88" s="123"/>
      <c r="JMM88" s="123"/>
      <c r="JMN88" s="123"/>
      <c r="JMO88" s="123"/>
      <c r="JMP88" s="123"/>
      <c r="JMQ88" s="123"/>
      <c r="JMR88" s="123"/>
      <c r="JMS88" s="123"/>
      <c r="JMT88" s="123"/>
      <c r="JMU88" s="123"/>
      <c r="JMV88" s="123"/>
      <c r="JMW88" s="123"/>
      <c r="JMX88" s="123"/>
      <c r="JMY88" s="123"/>
      <c r="JMZ88" s="123"/>
      <c r="JNA88" s="123"/>
      <c r="JNB88" s="123"/>
      <c r="JNC88" s="123"/>
      <c r="JND88" s="123"/>
      <c r="JNE88" s="123"/>
      <c r="JNF88" s="123"/>
      <c r="JNG88" s="123"/>
      <c r="JNH88" s="123"/>
      <c r="JNI88" s="123"/>
      <c r="JNJ88" s="123"/>
      <c r="JNK88" s="123"/>
      <c r="JNL88" s="123"/>
      <c r="JNM88" s="123"/>
      <c r="JNN88" s="123"/>
      <c r="JNO88" s="123"/>
      <c r="JNP88" s="123"/>
      <c r="JNQ88" s="123"/>
      <c r="JNR88" s="123"/>
      <c r="JNS88" s="123"/>
      <c r="JNT88" s="123"/>
      <c r="JNU88" s="123"/>
      <c r="JNV88" s="123"/>
      <c r="JNW88" s="123"/>
      <c r="JNX88" s="123"/>
      <c r="JNY88" s="123"/>
      <c r="JNZ88" s="123"/>
      <c r="JOA88" s="123"/>
      <c r="JOB88" s="123"/>
      <c r="JOC88" s="123"/>
      <c r="JOD88" s="123"/>
      <c r="JOE88" s="123"/>
      <c r="JOF88" s="123"/>
      <c r="JOG88" s="123"/>
      <c r="JOH88" s="123"/>
      <c r="JOI88" s="123"/>
      <c r="JOJ88" s="123"/>
      <c r="JOK88" s="123"/>
      <c r="JOL88" s="123"/>
      <c r="JOM88" s="123"/>
      <c r="JON88" s="123"/>
      <c r="JOO88" s="123"/>
      <c r="JOP88" s="123"/>
      <c r="JOQ88" s="123"/>
      <c r="JOR88" s="123"/>
      <c r="JOS88" s="123"/>
      <c r="JOT88" s="123"/>
      <c r="JOU88" s="123"/>
      <c r="JOV88" s="123"/>
      <c r="JOW88" s="123"/>
      <c r="JOX88" s="123"/>
      <c r="JOY88" s="123"/>
      <c r="JOZ88" s="123"/>
      <c r="JPA88" s="123"/>
      <c r="JPB88" s="123"/>
      <c r="JPC88" s="123"/>
      <c r="JPD88" s="123"/>
      <c r="JPE88" s="123"/>
      <c r="JPF88" s="123"/>
      <c r="JPG88" s="123"/>
      <c r="JPH88" s="123"/>
      <c r="JPI88" s="123"/>
      <c r="JPJ88" s="123"/>
      <c r="JPK88" s="123"/>
      <c r="JPL88" s="123"/>
      <c r="JPM88" s="123"/>
      <c r="JPN88" s="123"/>
      <c r="JPO88" s="123"/>
      <c r="JPP88" s="123"/>
      <c r="JPQ88" s="123"/>
      <c r="JPR88" s="123"/>
      <c r="JPS88" s="123"/>
      <c r="JPT88" s="123"/>
      <c r="JPU88" s="123"/>
      <c r="JPV88" s="123"/>
      <c r="JPW88" s="123"/>
      <c r="JPX88" s="123"/>
      <c r="JPY88" s="123"/>
      <c r="JPZ88" s="123"/>
      <c r="JQA88" s="123"/>
      <c r="JQB88" s="123"/>
      <c r="JQC88" s="123"/>
      <c r="JQD88" s="123"/>
      <c r="JQE88" s="123"/>
      <c r="JQF88" s="123"/>
      <c r="JQG88" s="123"/>
      <c r="JQH88" s="123"/>
      <c r="JQI88" s="123"/>
      <c r="JQJ88" s="123"/>
      <c r="JQK88" s="123"/>
      <c r="JQL88" s="123"/>
      <c r="JQM88" s="123"/>
      <c r="JQN88" s="123"/>
      <c r="JQO88" s="123"/>
      <c r="JQP88" s="123"/>
      <c r="JQQ88" s="123"/>
      <c r="JQR88" s="123"/>
      <c r="JQS88" s="123"/>
      <c r="JQT88" s="123"/>
      <c r="JQU88" s="123"/>
      <c r="JQV88" s="123"/>
      <c r="JQW88" s="123"/>
      <c r="JQX88" s="123"/>
      <c r="JQY88" s="123"/>
      <c r="JQZ88" s="123"/>
      <c r="JRA88" s="123"/>
      <c r="JRB88" s="123"/>
      <c r="JRC88" s="123"/>
      <c r="JRD88" s="123"/>
      <c r="JRE88" s="123"/>
      <c r="JRF88" s="123"/>
      <c r="JRG88" s="123"/>
      <c r="JRH88" s="123"/>
      <c r="JRI88" s="123"/>
      <c r="JRJ88" s="123"/>
      <c r="JRK88" s="123"/>
      <c r="JRL88" s="123"/>
      <c r="JRM88" s="123"/>
      <c r="JRN88" s="123"/>
      <c r="JRO88" s="123"/>
      <c r="JRP88" s="123"/>
      <c r="JRQ88" s="123"/>
      <c r="JRR88" s="123"/>
      <c r="JRS88" s="123"/>
      <c r="JRT88" s="123"/>
      <c r="JRU88" s="123"/>
      <c r="JRV88" s="123"/>
      <c r="JRW88" s="123"/>
      <c r="JRX88" s="123"/>
      <c r="JRY88" s="123"/>
      <c r="JRZ88" s="123"/>
      <c r="JSA88" s="123"/>
      <c r="JSB88" s="123"/>
      <c r="JSC88" s="123"/>
      <c r="JSD88" s="123"/>
      <c r="JSE88" s="123"/>
      <c r="JSF88" s="123"/>
      <c r="JSG88" s="123"/>
      <c r="JSH88" s="123"/>
      <c r="JSI88" s="123"/>
      <c r="JSJ88" s="123"/>
      <c r="JSK88" s="123"/>
      <c r="JSL88" s="123"/>
      <c r="JSM88" s="123"/>
      <c r="JSN88" s="123"/>
      <c r="JSO88" s="123"/>
      <c r="JSP88" s="123"/>
      <c r="JSQ88" s="123"/>
      <c r="JSR88" s="123"/>
      <c r="JSS88" s="123"/>
      <c r="JST88" s="123"/>
      <c r="JSU88" s="123"/>
      <c r="JSV88" s="123"/>
      <c r="JSW88" s="123"/>
      <c r="JSX88" s="123"/>
      <c r="JSY88" s="123"/>
      <c r="JSZ88" s="123"/>
      <c r="JTA88" s="123"/>
      <c r="JTB88" s="123"/>
      <c r="JTC88" s="123"/>
      <c r="JTD88" s="123"/>
      <c r="JTE88" s="123"/>
      <c r="JTF88" s="123"/>
      <c r="JTG88" s="123"/>
      <c r="JTH88" s="123"/>
      <c r="JTI88" s="123"/>
      <c r="JTJ88" s="123"/>
      <c r="JTK88" s="123"/>
      <c r="JTL88" s="123"/>
      <c r="JTM88" s="123"/>
      <c r="JTN88" s="123"/>
      <c r="JTO88" s="123"/>
      <c r="JTP88" s="123"/>
      <c r="JTQ88" s="123"/>
      <c r="JTR88" s="123"/>
      <c r="JTS88" s="123"/>
      <c r="JTT88" s="123"/>
      <c r="JTU88" s="123"/>
      <c r="JTV88" s="123"/>
      <c r="JTW88" s="123"/>
      <c r="JTX88" s="123"/>
      <c r="JTY88" s="123"/>
      <c r="JTZ88" s="123"/>
      <c r="JUA88" s="123"/>
      <c r="JUB88" s="123"/>
      <c r="JUC88" s="123"/>
      <c r="JUD88" s="123"/>
      <c r="JUE88" s="123"/>
      <c r="JUF88" s="123"/>
      <c r="JUG88" s="123"/>
      <c r="JUH88" s="123"/>
      <c r="JUI88" s="123"/>
      <c r="JUJ88" s="123"/>
      <c r="JUK88" s="123"/>
      <c r="JUL88" s="123"/>
      <c r="JUM88" s="123"/>
      <c r="JUN88" s="123"/>
      <c r="JUO88" s="123"/>
      <c r="JUP88" s="123"/>
      <c r="JUQ88" s="123"/>
      <c r="JUR88" s="123"/>
      <c r="JUS88" s="123"/>
      <c r="JUT88" s="123"/>
      <c r="JUU88" s="123"/>
      <c r="JUV88" s="123"/>
      <c r="JUW88" s="123"/>
      <c r="JUX88" s="123"/>
      <c r="JUY88" s="123"/>
      <c r="JUZ88" s="123"/>
      <c r="JVA88" s="123"/>
      <c r="JVB88" s="123"/>
      <c r="JVC88" s="123"/>
      <c r="JVD88" s="123"/>
      <c r="JVE88" s="123"/>
      <c r="JVF88" s="123"/>
      <c r="JVG88" s="123"/>
      <c r="JVH88" s="123"/>
      <c r="JVI88" s="123"/>
      <c r="JVJ88" s="123"/>
      <c r="JVK88" s="123"/>
      <c r="JVL88" s="123"/>
      <c r="JVM88" s="123"/>
      <c r="JVN88" s="123"/>
      <c r="JVO88" s="123"/>
      <c r="JVP88" s="123"/>
      <c r="JVQ88" s="123"/>
      <c r="JVR88" s="123"/>
      <c r="JVS88" s="123"/>
      <c r="JVT88" s="123"/>
      <c r="JVU88" s="123"/>
      <c r="JVV88" s="123"/>
      <c r="JVW88" s="123"/>
      <c r="JVX88" s="123"/>
      <c r="JVY88" s="123"/>
      <c r="JVZ88" s="123"/>
      <c r="JWA88" s="123"/>
      <c r="JWB88" s="123"/>
      <c r="JWC88" s="123"/>
      <c r="JWD88" s="123"/>
      <c r="JWE88" s="123"/>
      <c r="JWF88" s="123"/>
      <c r="JWG88" s="123"/>
      <c r="JWH88" s="123"/>
      <c r="JWI88" s="123"/>
      <c r="JWJ88" s="123"/>
      <c r="JWK88" s="123"/>
      <c r="JWL88" s="123"/>
      <c r="JWM88" s="123"/>
      <c r="JWN88" s="123"/>
      <c r="JWO88" s="123"/>
      <c r="JWP88" s="123"/>
      <c r="JWQ88" s="123"/>
      <c r="JWR88" s="123"/>
      <c r="JWS88" s="123"/>
      <c r="JWT88" s="123"/>
      <c r="JWU88" s="123"/>
      <c r="JWV88" s="123"/>
      <c r="JWW88" s="123"/>
      <c r="JWX88" s="123"/>
      <c r="JWY88" s="123"/>
      <c r="JWZ88" s="123"/>
      <c r="JXA88" s="123"/>
      <c r="JXB88" s="123"/>
      <c r="JXC88" s="123"/>
      <c r="JXD88" s="123"/>
      <c r="JXE88" s="123"/>
      <c r="JXF88" s="123"/>
      <c r="JXG88" s="123"/>
      <c r="JXH88" s="123"/>
      <c r="JXI88" s="123"/>
      <c r="JXJ88" s="123"/>
      <c r="JXK88" s="123"/>
      <c r="JXL88" s="123"/>
      <c r="JXM88" s="123"/>
      <c r="JXN88" s="123"/>
      <c r="JXO88" s="123"/>
      <c r="JXP88" s="123"/>
      <c r="JXQ88" s="123"/>
      <c r="JXR88" s="123"/>
      <c r="JXS88" s="123"/>
      <c r="JXT88" s="123"/>
      <c r="JXU88" s="123"/>
      <c r="JXV88" s="123"/>
      <c r="JXW88" s="123"/>
      <c r="JXX88" s="123"/>
      <c r="JXY88" s="123"/>
      <c r="JXZ88" s="123"/>
      <c r="JYA88" s="123"/>
      <c r="JYB88" s="123"/>
      <c r="JYC88" s="123"/>
      <c r="JYD88" s="123"/>
      <c r="JYE88" s="123"/>
      <c r="JYF88" s="123"/>
      <c r="JYG88" s="123"/>
      <c r="JYH88" s="123"/>
      <c r="JYI88" s="123"/>
      <c r="JYJ88" s="123"/>
      <c r="JYK88" s="123"/>
      <c r="JYL88" s="123"/>
      <c r="JYM88" s="123"/>
      <c r="JYN88" s="123"/>
      <c r="JYO88" s="123"/>
      <c r="JYP88" s="123"/>
      <c r="JYQ88" s="123"/>
      <c r="JYR88" s="123"/>
      <c r="JYS88" s="123"/>
      <c r="JYT88" s="123"/>
      <c r="JYU88" s="123"/>
      <c r="JYV88" s="123"/>
      <c r="JYW88" s="123"/>
      <c r="JYX88" s="123"/>
      <c r="JYY88" s="123"/>
      <c r="JYZ88" s="123"/>
      <c r="JZA88" s="123"/>
      <c r="JZB88" s="123"/>
      <c r="JZC88" s="123"/>
      <c r="JZD88" s="123"/>
      <c r="JZE88" s="123"/>
      <c r="JZF88" s="123"/>
      <c r="JZG88" s="123"/>
      <c r="JZH88" s="123"/>
      <c r="JZI88" s="123"/>
      <c r="JZJ88" s="123"/>
      <c r="JZK88" s="123"/>
      <c r="JZL88" s="123"/>
      <c r="JZM88" s="123"/>
      <c r="JZN88" s="123"/>
      <c r="JZO88" s="123"/>
      <c r="JZP88" s="123"/>
      <c r="JZQ88" s="123"/>
      <c r="JZR88" s="123"/>
      <c r="JZS88" s="123"/>
      <c r="JZT88" s="123"/>
      <c r="JZU88" s="123"/>
      <c r="JZV88" s="123"/>
      <c r="JZW88" s="123"/>
      <c r="JZX88" s="123"/>
      <c r="JZY88" s="123"/>
      <c r="JZZ88" s="123"/>
      <c r="KAA88" s="123"/>
      <c r="KAB88" s="123"/>
      <c r="KAC88" s="123"/>
      <c r="KAD88" s="123"/>
      <c r="KAE88" s="123"/>
      <c r="KAF88" s="123"/>
      <c r="KAG88" s="123"/>
      <c r="KAH88" s="123"/>
      <c r="KAI88" s="123"/>
      <c r="KAJ88" s="123"/>
      <c r="KAK88" s="123"/>
      <c r="KAL88" s="123"/>
      <c r="KAM88" s="123"/>
      <c r="KAN88" s="123"/>
      <c r="KAO88" s="123"/>
      <c r="KAP88" s="123"/>
      <c r="KAQ88" s="123"/>
      <c r="KAR88" s="123"/>
      <c r="KAS88" s="123"/>
      <c r="KAT88" s="123"/>
      <c r="KAU88" s="123"/>
      <c r="KAV88" s="123"/>
      <c r="KAW88" s="123"/>
      <c r="KAX88" s="123"/>
      <c r="KAY88" s="123"/>
      <c r="KAZ88" s="123"/>
      <c r="KBA88" s="123"/>
      <c r="KBB88" s="123"/>
      <c r="KBC88" s="123"/>
      <c r="KBD88" s="123"/>
      <c r="KBE88" s="123"/>
      <c r="KBF88" s="123"/>
      <c r="KBG88" s="123"/>
      <c r="KBH88" s="123"/>
      <c r="KBI88" s="123"/>
      <c r="KBJ88" s="123"/>
      <c r="KBK88" s="123"/>
      <c r="KBL88" s="123"/>
      <c r="KBM88" s="123"/>
      <c r="KBN88" s="123"/>
      <c r="KBO88" s="123"/>
      <c r="KBP88" s="123"/>
      <c r="KBQ88" s="123"/>
      <c r="KBR88" s="123"/>
      <c r="KBS88" s="123"/>
      <c r="KBT88" s="123"/>
      <c r="KBU88" s="123"/>
      <c r="KBV88" s="123"/>
      <c r="KBW88" s="123"/>
      <c r="KBX88" s="123"/>
      <c r="KBY88" s="123"/>
      <c r="KBZ88" s="123"/>
      <c r="KCA88" s="123"/>
      <c r="KCB88" s="123"/>
      <c r="KCC88" s="123"/>
      <c r="KCD88" s="123"/>
      <c r="KCE88" s="123"/>
      <c r="KCF88" s="123"/>
      <c r="KCG88" s="123"/>
      <c r="KCH88" s="123"/>
      <c r="KCI88" s="123"/>
      <c r="KCJ88" s="123"/>
      <c r="KCK88" s="123"/>
      <c r="KCL88" s="123"/>
      <c r="KCM88" s="123"/>
      <c r="KCN88" s="123"/>
      <c r="KCO88" s="123"/>
      <c r="KCP88" s="123"/>
      <c r="KCQ88" s="123"/>
      <c r="KCR88" s="123"/>
      <c r="KCS88" s="123"/>
      <c r="KCT88" s="123"/>
      <c r="KCU88" s="123"/>
      <c r="KCV88" s="123"/>
      <c r="KCW88" s="123"/>
      <c r="KCX88" s="123"/>
      <c r="KCY88" s="123"/>
      <c r="KCZ88" s="123"/>
      <c r="KDA88" s="123"/>
      <c r="KDB88" s="123"/>
      <c r="KDC88" s="123"/>
      <c r="KDD88" s="123"/>
      <c r="KDE88" s="123"/>
      <c r="KDF88" s="123"/>
      <c r="KDG88" s="123"/>
      <c r="KDH88" s="123"/>
      <c r="KDI88" s="123"/>
      <c r="KDJ88" s="123"/>
      <c r="KDK88" s="123"/>
      <c r="KDL88" s="123"/>
      <c r="KDM88" s="123"/>
      <c r="KDN88" s="123"/>
      <c r="KDO88" s="123"/>
      <c r="KDP88" s="123"/>
      <c r="KDQ88" s="123"/>
      <c r="KDR88" s="123"/>
      <c r="KDS88" s="123"/>
      <c r="KDT88" s="123"/>
      <c r="KDU88" s="123"/>
      <c r="KDV88" s="123"/>
      <c r="KDW88" s="123"/>
      <c r="KDX88" s="123"/>
      <c r="KDY88" s="123"/>
      <c r="KDZ88" s="123"/>
      <c r="KEA88" s="123"/>
      <c r="KEB88" s="123"/>
      <c r="KEC88" s="123"/>
      <c r="KED88" s="123"/>
      <c r="KEE88" s="123"/>
      <c r="KEF88" s="123"/>
      <c r="KEG88" s="123"/>
      <c r="KEH88" s="123"/>
      <c r="KEI88" s="123"/>
      <c r="KEJ88" s="123"/>
      <c r="KEK88" s="123"/>
      <c r="KEL88" s="123"/>
      <c r="KEM88" s="123"/>
      <c r="KEN88" s="123"/>
      <c r="KEO88" s="123"/>
      <c r="KEP88" s="123"/>
      <c r="KEQ88" s="123"/>
      <c r="KER88" s="123"/>
      <c r="KES88" s="123"/>
      <c r="KET88" s="123"/>
      <c r="KEU88" s="123"/>
      <c r="KEV88" s="123"/>
      <c r="KEW88" s="123"/>
      <c r="KEX88" s="123"/>
      <c r="KEY88" s="123"/>
      <c r="KEZ88" s="123"/>
      <c r="KFA88" s="123"/>
      <c r="KFB88" s="123"/>
      <c r="KFC88" s="123"/>
      <c r="KFD88" s="123"/>
      <c r="KFE88" s="123"/>
      <c r="KFF88" s="123"/>
      <c r="KFG88" s="123"/>
      <c r="KFH88" s="123"/>
      <c r="KFI88" s="123"/>
      <c r="KFJ88" s="123"/>
      <c r="KFK88" s="123"/>
      <c r="KFL88" s="123"/>
      <c r="KFM88" s="123"/>
      <c r="KFN88" s="123"/>
      <c r="KFO88" s="123"/>
      <c r="KFP88" s="123"/>
      <c r="KFQ88" s="123"/>
      <c r="KFR88" s="123"/>
      <c r="KFS88" s="123"/>
      <c r="KFT88" s="123"/>
      <c r="KFU88" s="123"/>
      <c r="KFV88" s="123"/>
      <c r="KFW88" s="123"/>
      <c r="KFX88" s="123"/>
      <c r="KFY88" s="123"/>
      <c r="KFZ88" s="123"/>
      <c r="KGA88" s="123"/>
      <c r="KGB88" s="123"/>
      <c r="KGC88" s="123"/>
      <c r="KGD88" s="123"/>
      <c r="KGE88" s="123"/>
      <c r="KGF88" s="123"/>
      <c r="KGG88" s="123"/>
      <c r="KGH88" s="123"/>
      <c r="KGI88" s="123"/>
      <c r="KGJ88" s="123"/>
      <c r="KGK88" s="123"/>
      <c r="KGL88" s="123"/>
      <c r="KGM88" s="123"/>
      <c r="KGN88" s="123"/>
      <c r="KGO88" s="123"/>
      <c r="KGP88" s="123"/>
      <c r="KGQ88" s="123"/>
      <c r="KGR88" s="123"/>
      <c r="KGS88" s="123"/>
      <c r="KGT88" s="123"/>
      <c r="KGU88" s="123"/>
      <c r="KGV88" s="123"/>
      <c r="KGW88" s="123"/>
      <c r="KGX88" s="123"/>
      <c r="KGY88" s="123"/>
      <c r="KGZ88" s="123"/>
      <c r="KHA88" s="123"/>
      <c r="KHB88" s="123"/>
      <c r="KHC88" s="123"/>
      <c r="KHD88" s="123"/>
      <c r="KHE88" s="123"/>
      <c r="KHF88" s="123"/>
      <c r="KHG88" s="123"/>
      <c r="KHH88" s="123"/>
      <c r="KHI88" s="123"/>
      <c r="KHJ88" s="123"/>
      <c r="KHK88" s="123"/>
      <c r="KHL88" s="123"/>
      <c r="KHM88" s="123"/>
      <c r="KHN88" s="123"/>
      <c r="KHO88" s="123"/>
      <c r="KHP88" s="123"/>
      <c r="KHQ88" s="123"/>
      <c r="KHR88" s="123"/>
      <c r="KHS88" s="123"/>
      <c r="KHT88" s="123"/>
      <c r="KHU88" s="123"/>
      <c r="KHV88" s="123"/>
      <c r="KHW88" s="123"/>
      <c r="KHX88" s="123"/>
      <c r="KHY88" s="123"/>
      <c r="KHZ88" s="123"/>
      <c r="KIA88" s="123"/>
      <c r="KIB88" s="123"/>
      <c r="KIC88" s="123"/>
      <c r="KID88" s="123"/>
      <c r="KIE88" s="123"/>
      <c r="KIF88" s="123"/>
      <c r="KIG88" s="123"/>
      <c r="KIH88" s="123"/>
      <c r="KII88" s="123"/>
      <c r="KIJ88" s="123"/>
      <c r="KIK88" s="123"/>
      <c r="KIL88" s="123"/>
      <c r="KIM88" s="123"/>
      <c r="KIN88" s="123"/>
      <c r="KIO88" s="123"/>
      <c r="KIP88" s="123"/>
      <c r="KIQ88" s="123"/>
      <c r="KIR88" s="123"/>
      <c r="KIS88" s="123"/>
      <c r="KIT88" s="123"/>
      <c r="KIU88" s="123"/>
      <c r="KIV88" s="123"/>
      <c r="KIW88" s="123"/>
      <c r="KIX88" s="123"/>
      <c r="KIY88" s="123"/>
      <c r="KIZ88" s="123"/>
      <c r="KJA88" s="123"/>
      <c r="KJB88" s="123"/>
      <c r="KJC88" s="123"/>
      <c r="KJD88" s="123"/>
      <c r="KJE88" s="123"/>
      <c r="KJF88" s="123"/>
      <c r="KJG88" s="123"/>
      <c r="KJH88" s="123"/>
      <c r="KJI88" s="123"/>
      <c r="KJJ88" s="123"/>
      <c r="KJK88" s="123"/>
      <c r="KJL88" s="123"/>
      <c r="KJM88" s="123"/>
      <c r="KJN88" s="123"/>
      <c r="KJO88" s="123"/>
      <c r="KJP88" s="123"/>
      <c r="KJQ88" s="123"/>
      <c r="KJR88" s="123"/>
      <c r="KJS88" s="123"/>
      <c r="KJT88" s="123"/>
      <c r="KJU88" s="123"/>
      <c r="KJV88" s="123"/>
      <c r="KJW88" s="123"/>
      <c r="KJX88" s="123"/>
      <c r="KJY88" s="123"/>
      <c r="KJZ88" s="123"/>
      <c r="KKA88" s="123"/>
      <c r="KKB88" s="123"/>
      <c r="KKC88" s="123"/>
      <c r="KKD88" s="123"/>
      <c r="KKE88" s="123"/>
      <c r="KKF88" s="123"/>
      <c r="KKG88" s="123"/>
      <c r="KKH88" s="123"/>
      <c r="KKI88" s="123"/>
      <c r="KKJ88" s="123"/>
      <c r="KKK88" s="123"/>
      <c r="KKL88" s="123"/>
      <c r="KKM88" s="123"/>
      <c r="KKN88" s="123"/>
      <c r="KKO88" s="123"/>
      <c r="KKP88" s="123"/>
      <c r="KKQ88" s="123"/>
      <c r="KKR88" s="123"/>
      <c r="KKS88" s="123"/>
      <c r="KKT88" s="123"/>
      <c r="KKU88" s="123"/>
      <c r="KKV88" s="123"/>
      <c r="KKW88" s="123"/>
      <c r="KKX88" s="123"/>
      <c r="KKY88" s="123"/>
      <c r="KKZ88" s="123"/>
      <c r="KLA88" s="123"/>
      <c r="KLB88" s="123"/>
      <c r="KLC88" s="123"/>
      <c r="KLD88" s="123"/>
      <c r="KLE88" s="123"/>
      <c r="KLF88" s="123"/>
      <c r="KLG88" s="123"/>
      <c r="KLH88" s="123"/>
      <c r="KLI88" s="123"/>
      <c r="KLJ88" s="123"/>
      <c r="KLK88" s="123"/>
      <c r="KLL88" s="123"/>
      <c r="KLM88" s="123"/>
      <c r="KLN88" s="123"/>
      <c r="KLO88" s="123"/>
      <c r="KLP88" s="123"/>
      <c r="KLQ88" s="123"/>
      <c r="KLR88" s="123"/>
      <c r="KLS88" s="123"/>
      <c r="KLT88" s="123"/>
      <c r="KLU88" s="123"/>
      <c r="KLV88" s="123"/>
      <c r="KLW88" s="123"/>
      <c r="KLX88" s="123"/>
      <c r="KLY88" s="123"/>
      <c r="KLZ88" s="123"/>
      <c r="KMA88" s="123"/>
      <c r="KMB88" s="123"/>
      <c r="KMC88" s="123"/>
      <c r="KMD88" s="123"/>
      <c r="KME88" s="123"/>
      <c r="KMF88" s="123"/>
      <c r="KMG88" s="123"/>
      <c r="KMH88" s="123"/>
      <c r="KMI88" s="123"/>
      <c r="KMJ88" s="123"/>
      <c r="KMK88" s="123"/>
      <c r="KML88" s="123"/>
      <c r="KMM88" s="123"/>
      <c r="KMN88" s="123"/>
      <c r="KMO88" s="123"/>
      <c r="KMP88" s="123"/>
      <c r="KMQ88" s="123"/>
      <c r="KMR88" s="123"/>
      <c r="KMS88" s="123"/>
      <c r="KMT88" s="123"/>
      <c r="KMU88" s="123"/>
      <c r="KMV88" s="123"/>
      <c r="KMW88" s="123"/>
      <c r="KMX88" s="123"/>
      <c r="KMY88" s="123"/>
      <c r="KMZ88" s="123"/>
      <c r="KNA88" s="123"/>
      <c r="KNB88" s="123"/>
      <c r="KNC88" s="123"/>
      <c r="KND88" s="123"/>
      <c r="KNE88" s="123"/>
      <c r="KNF88" s="123"/>
      <c r="KNG88" s="123"/>
      <c r="KNH88" s="123"/>
      <c r="KNI88" s="123"/>
      <c r="KNJ88" s="123"/>
      <c r="KNK88" s="123"/>
      <c r="KNL88" s="123"/>
      <c r="KNM88" s="123"/>
      <c r="KNN88" s="123"/>
      <c r="KNO88" s="123"/>
      <c r="KNP88" s="123"/>
      <c r="KNQ88" s="123"/>
      <c r="KNR88" s="123"/>
      <c r="KNS88" s="123"/>
      <c r="KNT88" s="123"/>
      <c r="KNU88" s="123"/>
      <c r="KNV88" s="123"/>
      <c r="KNW88" s="123"/>
      <c r="KNX88" s="123"/>
      <c r="KNY88" s="123"/>
      <c r="KNZ88" s="123"/>
      <c r="KOA88" s="123"/>
      <c r="KOB88" s="123"/>
      <c r="KOC88" s="123"/>
      <c r="KOD88" s="123"/>
      <c r="KOE88" s="123"/>
      <c r="KOF88" s="123"/>
      <c r="KOG88" s="123"/>
      <c r="KOH88" s="123"/>
      <c r="KOI88" s="123"/>
      <c r="KOJ88" s="123"/>
      <c r="KOK88" s="123"/>
      <c r="KOL88" s="123"/>
      <c r="KOM88" s="123"/>
      <c r="KON88" s="123"/>
      <c r="KOO88" s="123"/>
      <c r="KOP88" s="123"/>
      <c r="KOQ88" s="123"/>
      <c r="KOR88" s="123"/>
      <c r="KOS88" s="123"/>
      <c r="KOT88" s="123"/>
      <c r="KOU88" s="123"/>
      <c r="KOV88" s="123"/>
      <c r="KOW88" s="123"/>
      <c r="KOX88" s="123"/>
      <c r="KOY88" s="123"/>
      <c r="KOZ88" s="123"/>
      <c r="KPA88" s="123"/>
      <c r="KPB88" s="123"/>
      <c r="KPC88" s="123"/>
      <c r="KPD88" s="123"/>
      <c r="KPE88" s="123"/>
      <c r="KPF88" s="123"/>
      <c r="KPG88" s="123"/>
      <c r="KPH88" s="123"/>
      <c r="KPI88" s="123"/>
      <c r="KPJ88" s="123"/>
      <c r="KPK88" s="123"/>
      <c r="KPL88" s="123"/>
      <c r="KPM88" s="123"/>
      <c r="KPN88" s="123"/>
      <c r="KPO88" s="123"/>
      <c r="KPP88" s="123"/>
      <c r="KPQ88" s="123"/>
      <c r="KPR88" s="123"/>
      <c r="KPS88" s="123"/>
      <c r="KPT88" s="123"/>
      <c r="KPU88" s="123"/>
      <c r="KPV88" s="123"/>
      <c r="KPW88" s="123"/>
      <c r="KPX88" s="123"/>
      <c r="KPY88" s="123"/>
      <c r="KPZ88" s="123"/>
      <c r="KQA88" s="123"/>
      <c r="KQB88" s="123"/>
      <c r="KQC88" s="123"/>
      <c r="KQD88" s="123"/>
      <c r="KQE88" s="123"/>
      <c r="KQF88" s="123"/>
      <c r="KQG88" s="123"/>
      <c r="KQH88" s="123"/>
      <c r="KQI88" s="123"/>
      <c r="KQJ88" s="123"/>
      <c r="KQK88" s="123"/>
      <c r="KQL88" s="123"/>
      <c r="KQM88" s="123"/>
      <c r="KQN88" s="123"/>
      <c r="KQO88" s="123"/>
      <c r="KQP88" s="123"/>
      <c r="KQQ88" s="123"/>
      <c r="KQR88" s="123"/>
      <c r="KQS88" s="123"/>
      <c r="KQT88" s="123"/>
      <c r="KQU88" s="123"/>
      <c r="KQV88" s="123"/>
      <c r="KQW88" s="123"/>
      <c r="KQX88" s="123"/>
      <c r="KQY88" s="123"/>
      <c r="KQZ88" s="123"/>
      <c r="KRA88" s="123"/>
      <c r="KRB88" s="123"/>
      <c r="KRC88" s="123"/>
      <c r="KRD88" s="123"/>
      <c r="KRE88" s="123"/>
      <c r="KRF88" s="123"/>
      <c r="KRG88" s="123"/>
      <c r="KRH88" s="123"/>
      <c r="KRI88" s="123"/>
      <c r="KRJ88" s="123"/>
      <c r="KRK88" s="123"/>
      <c r="KRL88" s="123"/>
      <c r="KRM88" s="123"/>
      <c r="KRN88" s="123"/>
      <c r="KRO88" s="123"/>
      <c r="KRP88" s="123"/>
      <c r="KRQ88" s="123"/>
      <c r="KRR88" s="123"/>
      <c r="KRS88" s="123"/>
      <c r="KRT88" s="123"/>
      <c r="KRU88" s="123"/>
      <c r="KRV88" s="123"/>
      <c r="KRW88" s="123"/>
      <c r="KRX88" s="123"/>
      <c r="KRY88" s="123"/>
      <c r="KRZ88" s="123"/>
      <c r="KSA88" s="123"/>
      <c r="KSB88" s="123"/>
      <c r="KSC88" s="123"/>
      <c r="KSD88" s="123"/>
      <c r="KSE88" s="123"/>
      <c r="KSF88" s="123"/>
      <c r="KSG88" s="123"/>
      <c r="KSH88" s="123"/>
      <c r="KSI88" s="123"/>
      <c r="KSJ88" s="123"/>
      <c r="KSK88" s="123"/>
      <c r="KSL88" s="123"/>
      <c r="KSM88" s="123"/>
      <c r="KSN88" s="123"/>
      <c r="KSO88" s="123"/>
      <c r="KSP88" s="123"/>
      <c r="KSQ88" s="123"/>
      <c r="KSR88" s="123"/>
      <c r="KSS88" s="123"/>
      <c r="KST88" s="123"/>
      <c r="KSU88" s="123"/>
      <c r="KSV88" s="123"/>
      <c r="KSW88" s="123"/>
      <c r="KSX88" s="123"/>
      <c r="KSY88" s="123"/>
      <c r="KSZ88" s="123"/>
      <c r="KTA88" s="123"/>
      <c r="KTB88" s="123"/>
      <c r="KTC88" s="123"/>
      <c r="KTD88" s="123"/>
      <c r="KTE88" s="123"/>
      <c r="KTF88" s="123"/>
      <c r="KTG88" s="123"/>
      <c r="KTH88" s="123"/>
      <c r="KTI88" s="123"/>
      <c r="KTJ88" s="123"/>
      <c r="KTK88" s="123"/>
      <c r="KTL88" s="123"/>
      <c r="KTM88" s="123"/>
      <c r="KTN88" s="123"/>
      <c r="KTO88" s="123"/>
      <c r="KTP88" s="123"/>
      <c r="KTQ88" s="123"/>
      <c r="KTR88" s="123"/>
      <c r="KTS88" s="123"/>
      <c r="KTT88" s="123"/>
      <c r="KTU88" s="123"/>
      <c r="KTV88" s="123"/>
      <c r="KTW88" s="123"/>
      <c r="KTX88" s="123"/>
      <c r="KTY88" s="123"/>
      <c r="KTZ88" s="123"/>
      <c r="KUA88" s="123"/>
      <c r="KUB88" s="123"/>
      <c r="KUC88" s="123"/>
      <c r="KUD88" s="123"/>
      <c r="KUE88" s="123"/>
      <c r="KUF88" s="123"/>
      <c r="KUG88" s="123"/>
      <c r="KUH88" s="123"/>
      <c r="KUI88" s="123"/>
      <c r="KUJ88" s="123"/>
      <c r="KUK88" s="123"/>
      <c r="KUL88" s="123"/>
      <c r="KUM88" s="123"/>
      <c r="KUN88" s="123"/>
      <c r="KUO88" s="123"/>
      <c r="KUP88" s="123"/>
      <c r="KUQ88" s="123"/>
      <c r="KUR88" s="123"/>
      <c r="KUS88" s="123"/>
      <c r="KUT88" s="123"/>
      <c r="KUU88" s="123"/>
      <c r="KUV88" s="123"/>
      <c r="KUW88" s="123"/>
      <c r="KUX88" s="123"/>
      <c r="KUY88" s="123"/>
      <c r="KUZ88" s="123"/>
      <c r="KVA88" s="123"/>
      <c r="KVB88" s="123"/>
      <c r="KVC88" s="123"/>
      <c r="KVD88" s="123"/>
      <c r="KVE88" s="123"/>
      <c r="KVF88" s="123"/>
      <c r="KVG88" s="123"/>
      <c r="KVH88" s="123"/>
      <c r="KVI88" s="123"/>
      <c r="KVJ88" s="123"/>
      <c r="KVK88" s="123"/>
      <c r="KVL88" s="123"/>
      <c r="KVM88" s="123"/>
      <c r="KVN88" s="123"/>
      <c r="KVO88" s="123"/>
      <c r="KVP88" s="123"/>
      <c r="KVQ88" s="123"/>
      <c r="KVR88" s="123"/>
      <c r="KVS88" s="123"/>
      <c r="KVT88" s="123"/>
      <c r="KVU88" s="123"/>
      <c r="KVV88" s="123"/>
      <c r="KVW88" s="123"/>
      <c r="KVX88" s="123"/>
      <c r="KVY88" s="123"/>
      <c r="KVZ88" s="123"/>
      <c r="KWA88" s="123"/>
      <c r="KWB88" s="123"/>
      <c r="KWC88" s="123"/>
      <c r="KWD88" s="123"/>
      <c r="KWE88" s="123"/>
      <c r="KWF88" s="123"/>
      <c r="KWG88" s="123"/>
      <c r="KWH88" s="123"/>
      <c r="KWI88" s="123"/>
      <c r="KWJ88" s="123"/>
      <c r="KWK88" s="123"/>
      <c r="KWL88" s="123"/>
      <c r="KWM88" s="123"/>
      <c r="KWN88" s="123"/>
      <c r="KWO88" s="123"/>
      <c r="KWP88" s="123"/>
      <c r="KWQ88" s="123"/>
      <c r="KWR88" s="123"/>
      <c r="KWS88" s="123"/>
      <c r="KWT88" s="123"/>
      <c r="KWU88" s="123"/>
      <c r="KWV88" s="123"/>
      <c r="KWW88" s="123"/>
      <c r="KWX88" s="123"/>
      <c r="KWY88" s="123"/>
      <c r="KWZ88" s="123"/>
      <c r="KXA88" s="123"/>
      <c r="KXB88" s="123"/>
      <c r="KXC88" s="123"/>
      <c r="KXD88" s="123"/>
      <c r="KXE88" s="123"/>
      <c r="KXF88" s="123"/>
      <c r="KXG88" s="123"/>
      <c r="KXH88" s="123"/>
      <c r="KXI88" s="123"/>
      <c r="KXJ88" s="123"/>
      <c r="KXK88" s="123"/>
      <c r="KXL88" s="123"/>
      <c r="KXM88" s="123"/>
      <c r="KXN88" s="123"/>
      <c r="KXO88" s="123"/>
      <c r="KXP88" s="123"/>
      <c r="KXQ88" s="123"/>
      <c r="KXR88" s="123"/>
      <c r="KXS88" s="123"/>
      <c r="KXT88" s="123"/>
      <c r="KXU88" s="123"/>
      <c r="KXV88" s="123"/>
      <c r="KXW88" s="123"/>
      <c r="KXX88" s="123"/>
      <c r="KXY88" s="123"/>
      <c r="KXZ88" s="123"/>
      <c r="KYA88" s="123"/>
      <c r="KYB88" s="123"/>
      <c r="KYC88" s="123"/>
      <c r="KYD88" s="123"/>
      <c r="KYE88" s="123"/>
      <c r="KYF88" s="123"/>
      <c r="KYG88" s="123"/>
      <c r="KYH88" s="123"/>
      <c r="KYI88" s="123"/>
      <c r="KYJ88" s="123"/>
      <c r="KYK88" s="123"/>
      <c r="KYL88" s="123"/>
      <c r="KYM88" s="123"/>
      <c r="KYN88" s="123"/>
      <c r="KYO88" s="123"/>
      <c r="KYP88" s="123"/>
      <c r="KYQ88" s="123"/>
      <c r="KYR88" s="123"/>
      <c r="KYS88" s="123"/>
      <c r="KYT88" s="123"/>
      <c r="KYU88" s="123"/>
      <c r="KYV88" s="123"/>
      <c r="KYW88" s="123"/>
      <c r="KYX88" s="123"/>
      <c r="KYY88" s="123"/>
      <c r="KYZ88" s="123"/>
      <c r="KZA88" s="123"/>
      <c r="KZB88" s="123"/>
      <c r="KZC88" s="123"/>
      <c r="KZD88" s="123"/>
      <c r="KZE88" s="123"/>
      <c r="KZF88" s="123"/>
      <c r="KZG88" s="123"/>
      <c r="KZH88" s="123"/>
      <c r="KZI88" s="123"/>
      <c r="KZJ88" s="123"/>
      <c r="KZK88" s="123"/>
      <c r="KZL88" s="123"/>
      <c r="KZM88" s="123"/>
      <c r="KZN88" s="123"/>
      <c r="KZO88" s="123"/>
      <c r="KZP88" s="123"/>
      <c r="KZQ88" s="123"/>
      <c r="KZR88" s="123"/>
      <c r="KZS88" s="123"/>
      <c r="KZT88" s="123"/>
      <c r="KZU88" s="123"/>
      <c r="KZV88" s="123"/>
      <c r="KZW88" s="123"/>
      <c r="KZX88" s="123"/>
      <c r="KZY88" s="123"/>
      <c r="KZZ88" s="123"/>
      <c r="LAA88" s="123"/>
      <c r="LAB88" s="123"/>
      <c r="LAC88" s="123"/>
      <c r="LAD88" s="123"/>
      <c r="LAE88" s="123"/>
      <c r="LAF88" s="123"/>
      <c r="LAG88" s="123"/>
      <c r="LAH88" s="123"/>
      <c r="LAI88" s="123"/>
      <c r="LAJ88" s="123"/>
      <c r="LAK88" s="123"/>
      <c r="LAL88" s="123"/>
      <c r="LAM88" s="123"/>
      <c r="LAN88" s="123"/>
      <c r="LAO88" s="123"/>
      <c r="LAP88" s="123"/>
      <c r="LAQ88" s="123"/>
      <c r="LAR88" s="123"/>
      <c r="LAS88" s="123"/>
      <c r="LAT88" s="123"/>
      <c r="LAU88" s="123"/>
      <c r="LAV88" s="123"/>
      <c r="LAW88" s="123"/>
      <c r="LAX88" s="123"/>
      <c r="LAY88" s="123"/>
      <c r="LAZ88" s="123"/>
      <c r="LBA88" s="123"/>
      <c r="LBB88" s="123"/>
      <c r="LBC88" s="123"/>
      <c r="LBD88" s="123"/>
      <c r="LBE88" s="123"/>
      <c r="LBF88" s="123"/>
      <c r="LBG88" s="123"/>
      <c r="LBH88" s="123"/>
      <c r="LBI88" s="123"/>
      <c r="LBJ88" s="123"/>
      <c r="LBK88" s="123"/>
      <c r="LBL88" s="123"/>
      <c r="LBM88" s="123"/>
      <c r="LBN88" s="123"/>
      <c r="LBO88" s="123"/>
      <c r="LBP88" s="123"/>
      <c r="LBQ88" s="123"/>
      <c r="LBR88" s="123"/>
      <c r="LBS88" s="123"/>
      <c r="LBT88" s="123"/>
      <c r="LBU88" s="123"/>
      <c r="LBV88" s="123"/>
      <c r="LBW88" s="123"/>
      <c r="LBX88" s="123"/>
      <c r="LBY88" s="123"/>
      <c r="LBZ88" s="123"/>
      <c r="LCA88" s="123"/>
      <c r="LCB88" s="123"/>
      <c r="LCC88" s="123"/>
      <c r="LCD88" s="123"/>
      <c r="LCE88" s="123"/>
      <c r="LCF88" s="123"/>
      <c r="LCG88" s="123"/>
      <c r="LCH88" s="123"/>
      <c r="LCI88" s="123"/>
      <c r="LCJ88" s="123"/>
      <c r="LCK88" s="123"/>
      <c r="LCL88" s="123"/>
      <c r="LCM88" s="123"/>
      <c r="LCN88" s="123"/>
      <c r="LCO88" s="123"/>
      <c r="LCP88" s="123"/>
      <c r="LCQ88" s="123"/>
      <c r="LCR88" s="123"/>
      <c r="LCS88" s="123"/>
      <c r="LCT88" s="123"/>
      <c r="LCU88" s="123"/>
      <c r="LCV88" s="123"/>
      <c r="LCW88" s="123"/>
      <c r="LCX88" s="123"/>
      <c r="LCY88" s="123"/>
      <c r="LCZ88" s="123"/>
      <c r="LDA88" s="123"/>
      <c r="LDB88" s="123"/>
      <c r="LDC88" s="123"/>
      <c r="LDD88" s="123"/>
      <c r="LDE88" s="123"/>
      <c r="LDF88" s="123"/>
      <c r="LDG88" s="123"/>
      <c r="LDH88" s="123"/>
      <c r="LDI88" s="123"/>
      <c r="LDJ88" s="123"/>
      <c r="LDK88" s="123"/>
      <c r="LDL88" s="123"/>
      <c r="LDM88" s="123"/>
      <c r="LDN88" s="123"/>
      <c r="LDO88" s="123"/>
      <c r="LDP88" s="123"/>
      <c r="LDQ88" s="123"/>
      <c r="LDR88" s="123"/>
      <c r="LDS88" s="123"/>
      <c r="LDT88" s="123"/>
      <c r="LDU88" s="123"/>
      <c r="LDV88" s="123"/>
      <c r="LDW88" s="123"/>
      <c r="LDX88" s="123"/>
      <c r="LDY88" s="123"/>
      <c r="LDZ88" s="123"/>
      <c r="LEA88" s="123"/>
      <c r="LEB88" s="123"/>
      <c r="LEC88" s="123"/>
      <c r="LED88" s="123"/>
      <c r="LEE88" s="123"/>
      <c r="LEF88" s="123"/>
      <c r="LEG88" s="123"/>
      <c r="LEH88" s="123"/>
      <c r="LEI88" s="123"/>
      <c r="LEJ88" s="123"/>
      <c r="LEK88" s="123"/>
      <c r="LEL88" s="123"/>
      <c r="LEM88" s="123"/>
      <c r="LEN88" s="123"/>
      <c r="LEO88" s="123"/>
      <c r="LEP88" s="123"/>
      <c r="LEQ88" s="123"/>
      <c r="LER88" s="123"/>
      <c r="LES88" s="123"/>
      <c r="LET88" s="123"/>
      <c r="LEU88" s="123"/>
      <c r="LEV88" s="123"/>
      <c r="LEW88" s="123"/>
      <c r="LEX88" s="123"/>
      <c r="LEY88" s="123"/>
      <c r="LEZ88" s="123"/>
      <c r="LFA88" s="123"/>
      <c r="LFB88" s="123"/>
      <c r="LFC88" s="123"/>
      <c r="LFD88" s="123"/>
      <c r="LFE88" s="123"/>
      <c r="LFF88" s="123"/>
      <c r="LFG88" s="123"/>
      <c r="LFH88" s="123"/>
      <c r="LFI88" s="123"/>
      <c r="LFJ88" s="123"/>
      <c r="LFK88" s="123"/>
      <c r="LFL88" s="123"/>
      <c r="LFM88" s="123"/>
      <c r="LFN88" s="123"/>
      <c r="LFO88" s="123"/>
      <c r="LFP88" s="123"/>
      <c r="LFQ88" s="123"/>
      <c r="LFR88" s="123"/>
      <c r="LFS88" s="123"/>
      <c r="LFT88" s="123"/>
      <c r="LFU88" s="123"/>
      <c r="LFV88" s="123"/>
      <c r="LFW88" s="123"/>
      <c r="LFX88" s="123"/>
      <c r="LFY88" s="123"/>
      <c r="LFZ88" s="123"/>
      <c r="LGA88" s="123"/>
      <c r="LGB88" s="123"/>
      <c r="LGC88" s="123"/>
      <c r="LGD88" s="123"/>
      <c r="LGE88" s="123"/>
      <c r="LGF88" s="123"/>
      <c r="LGG88" s="123"/>
      <c r="LGH88" s="123"/>
      <c r="LGI88" s="123"/>
      <c r="LGJ88" s="123"/>
      <c r="LGK88" s="123"/>
      <c r="LGL88" s="123"/>
      <c r="LGM88" s="123"/>
      <c r="LGN88" s="123"/>
      <c r="LGO88" s="123"/>
      <c r="LGP88" s="123"/>
      <c r="LGQ88" s="123"/>
      <c r="LGR88" s="123"/>
      <c r="LGS88" s="123"/>
      <c r="LGT88" s="123"/>
      <c r="LGU88" s="123"/>
      <c r="LGV88" s="123"/>
      <c r="LGW88" s="123"/>
      <c r="LGX88" s="123"/>
      <c r="LGY88" s="123"/>
      <c r="LGZ88" s="123"/>
      <c r="LHA88" s="123"/>
      <c r="LHB88" s="123"/>
      <c r="LHC88" s="123"/>
      <c r="LHD88" s="123"/>
      <c r="LHE88" s="123"/>
      <c r="LHF88" s="123"/>
      <c r="LHG88" s="123"/>
      <c r="LHH88" s="123"/>
      <c r="LHI88" s="123"/>
      <c r="LHJ88" s="123"/>
      <c r="LHK88" s="123"/>
      <c r="LHL88" s="123"/>
      <c r="LHM88" s="123"/>
      <c r="LHN88" s="123"/>
      <c r="LHO88" s="123"/>
      <c r="LHP88" s="123"/>
      <c r="LHQ88" s="123"/>
      <c r="LHR88" s="123"/>
      <c r="LHS88" s="123"/>
      <c r="LHT88" s="123"/>
      <c r="LHU88" s="123"/>
      <c r="LHV88" s="123"/>
      <c r="LHW88" s="123"/>
      <c r="LHX88" s="123"/>
      <c r="LHY88" s="123"/>
      <c r="LHZ88" s="123"/>
      <c r="LIA88" s="123"/>
      <c r="LIB88" s="123"/>
      <c r="LIC88" s="123"/>
      <c r="LID88" s="123"/>
      <c r="LIE88" s="123"/>
      <c r="LIF88" s="123"/>
      <c r="LIG88" s="123"/>
      <c r="LIH88" s="123"/>
      <c r="LII88" s="123"/>
      <c r="LIJ88" s="123"/>
      <c r="LIK88" s="123"/>
      <c r="LIL88" s="123"/>
      <c r="LIM88" s="123"/>
      <c r="LIN88" s="123"/>
      <c r="LIO88" s="123"/>
      <c r="LIP88" s="123"/>
      <c r="LIQ88" s="123"/>
      <c r="LIR88" s="123"/>
      <c r="LIS88" s="123"/>
      <c r="LIT88" s="123"/>
      <c r="LIU88" s="123"/>
      <c r="LIV88" s="123"/>
      <c r="LIW88" s="123"/>
      <c r="LIX88" s="123"/>
      <c r="LIY88" s="123"/>
      <c r="LIZ88" s="123"/>
      <c r="LJA88" s="123"/>
      <c r="LJB88" s="123"/>
      <c r="LJC88" s="123"/>
      <c r="LJD88" s="123"/>
      <c r="LJE88" s="123"/>
      <c r="LJF88" s="123"/>
      <c r="LJG88" s="123"/>
      <c r="LJH88" s="123"/>
      <c r="LJI88" s="123"/>
      <c r="LJJ88" s="123"/>
      <c r="LJK88" s="123"/>
      <c r="LJL88" s="123"/>
      <c r="LJM88" s="123"/>
      <c r="LJN88" s="123"/>
      <c r="LJO88" s="123"/>
      <c r="LJP88" s="123"/>
      <c r="LJQ88" s="123"/>
      <c r="LJR88" s="123"/>
      <c r="LJS88" s="123"/>
      <c r="LJT88" s="123"/>
      <c r="LJU88" s="123"/>
      <c r="LJV88" s="123"/>
      <c r="LJW88" s="123"/>
      <c r="LJX88" s="123"/>
      <c r="LJY88" s="123"/>
      <c r="LJZ88" s="123"/>
      <c r="LKA88" s="123"/>
      <c r="LKB88" s="123"/>
      <c r="LKC88" s="123"/>
      <c r="LKD88" s="123"/>
      <c r="LKE88" s="123"/>
      <c r="LKF88" s="123"/>
      <c r="LKG88" s="123"/>
      <c r="LKH88" s="123"/>
      <c r="LKI88" s="123"/>
      <c r="LKJ88" s="123"/>
      <c r="LKK88" s="123"/>
      <c r="LKL88" s="123"/>
      <c r="LKM88" s="123"/>
      <c r="LKN88" s="123"/>
      <c r="LKO88" s="123"/>
      <c r="LKP88" s="123"/>
      <c r="LKQ88" s="123"/>
      <c r="LKR88" s="123"/>
      <c r="LKS88" s="123"/>
      <c r="LKT88" s="123"/>
      <c r="LKU88" s="123"/>
      <c r="LKV88" s="123"/>
      <c r="LKW88" s="123"/>
      <c r="LKX88" s="123"/>
      <c r="LKY88" s="123"/>
      <c r="LKZ88" s="123"/>
      <c r="LLA88" s="123"/>
      <c r="LLB88" s="123"/>
      <c r="LLC88" s="123"/>
      <c r="LLD88" s="123"/>
      <c r="LLE88" s="123"/>
      <c r="LLF88" s="123"/>
      <c r="LLG88" s="123"/>
      <c r="LLH88" s="123"/>
      <c r="LLI88" s="123"/>
      <c r="LLJ88" s="123"/>
      <c r="LLK88" s="123"/>
      <c r="LLL88" s="123"/>
      <c r="LLM88" s="123"/>
      <c r="LLN88" s="123"/>
      <c r="LLO88" s="123"/>
      <c r="LLP88" s="123"/>
      <c r="LLQ88" s="123"/>
      <c r="LLR88" s="123"/>
      <c r="LLS88" s="123"/>
      <c r="LLT88" s="123"/>
      <c r="LLU88" s="123"/>
      <c r="LLV88" s="123"/>
      <c r="LLW88" s="123"/>
      <c r="LLX88" s="123"/>
      <c r="LLY88" s="123"/>
      <c r="LLZ88" s="123"/>
      <c r="LMA88" s="123"/>
      <c r="LMB88" s="123"/>
      <c r="LMC88" s="123"/>
      <c r="LMD88" s="123"/>
      <c r="LME88" s="123"/>
      <c r="LMF88" s="123"/>
      <c r="LMG88" s="123"/>
      <c r="LMH88" s="123"/>
      <c r="LMI88" s="123"/>
      <c r="LMJ88" s="123"/>
      <c r="LMK88" s="123"/>
      <c r="LML88" s="123"/>
      <c r="LMM88" s="123"/>
      <c r="LMN88" s="123"/>
      <c r="LMO88" s="123"/>
      <c r="LMP88" s="123"/>
      <c r="LMQ88" s="123"/>
      <c r="LMR88" s="123"/>
      <c r="LMS88" s="123"/>
      <c r="LMT88" s="123"/>
      <c r="LMU88" s="123"/>
      <c r="LMV88" s="123"/>
      <c r="LMW88" s="123"/>
      <c r="LMX88" s="123"/>
      <c r="LMY88" s="123"/>
      <c r="LMZ88" s="123"/>
      <c r="LNA88" s="123"/>
      <c r="LNB88" s="123"/>
      <c r="LNC88" s="123"/>
      <c r="LND88" s="123"/>
      <c r="LNE88" s="123"/>
      <c r="LNF88" s="123"/>
      <c r="LNG88" s="123"/>
      <c r="LNH88" s="123"/>
      <c r="LNI88" s="123"/>
      <c r="LNJ88" s="123"/>
      <c r="LNK88" s="123"/>
      <c r="LNL88" s="123"/>
      <c r="LNM88" s="123"/>
      <c r="LNN88" s="123"/>
      <c r="LNO88" s="123"/>
      <c r="LNP88" s="123"/>
      <c r="LNQ88" s="123"/>
      <c r="LNR88" s="123"/>
      <c r="LNS88" s="123"/>
      <c r="LNT88" s="123"/>
      <c r="LNU88" s="123"/>
      <c r="LNV88" s="123"/>
      <c r="LNW88" s="123"/>
      <c r="LNX88" s="123"/>
      <c r="LNY88" s="123"/>
      <c r="LNZ88" s="123"/>
      <c r="LOA88" s="123"/>
      <c r="LOB88" s="123"/>
      <c r="LOC88" s="123"/>
      <c r="LOD88" s="123"/>
      <c r="LOE88" s="123"/>
      <c r="LOF88" s="123"/>
      <c r="LOG88" s="123"/>
      <c r="LOH88" s="123"/>
      <c r="LOI88" s="123"/>
      <c r="LOJ88" s="123"/>
      <c r="LOK88" s="123"/>
      <c r="LOL88" s="123"/>
      <c r="LOM88" s="123"/>
      <c r="LON88" s="123"/>
      <c r="LOO88" s="123"/>
      <c r="LOP88" s="123"/>
      <c r="LOQ88" s="123"/>
      <c r="LOR88" s="123"/>
      <c r="LOS88" s="123"/>
      <c r="LOT88" s="123"/>
      <c r="LOU88" s="123"/>
      <c r="LOV88" s="123"/>
      <c r="LOW88" s="123"/>
      <c r="LOX88" s="123"/>
      <c r="LOY88" s="123"/>
      <c r="LOZ88" s="123"/>
      <c r="LPA88" s="123"/>
      <c r="LPB88" s="123"/>
      <c r="LPC88" s="123"/>
      <c r="LPD88" s="123"/>
      <c r="LPE88" s="123"/>
      <c r="LPF88" s="123"/>
      <c r="LPG88" s="123"/>
      <c r="LPH88" s="123"/>
      <c r="LPI88" s="123"/>
      <c r="LPJ88" s="123"/>
      <c r="LPK88" s="123"/>
      <c r="LPL88" s="123"/>
      <c r="LPM88" s="123"/>
      <c r="LPN88" s="123"/>
      <c r="LPO88" s="123"/>
      <c r="LPP88" s="123"/>
      <c r="LPQ88" s="123"/>
      <c r="LPR88" s="123"/>
      <c r="LPS88" s="123"/>
      <c r="LPT88" s="123"/>
      <c r="LPU88" s="123"/>
      <c r="LPV88" s="123"/>
      <c r="LPW88" s="123"/>
      <c r="LPX88" s="123"/>
      <c r="LPY88" s="123"/>
      <c r="LPZ88" s="123"/>
      <c r="LQA88" s="123"/>
      <c r="LQB88" s="123"/>
      <c r="LQC88" s="123"/>
      <c r="LQD88" s="123"/>
      <c r="LQE88" s="123"/>
      <c r="LQF88" s="123"/>
      <c r="LQG88" s="123"/>
      <c r="LQH88" s="123"/>
      <c r="LQI88" s="123"/>
      <c r="LQJ88" s="123"/>
      <c r="LQK88" s="123"/>
      <c r="LQL88" s="123"/>
      <c r="LQM88" s="123"/>
      <c r="LQN88" s="123"/>
      <c r="LQO88" s="123"/>
      <c r="LQP88" s="123"/>
      <c r="LQQ88" s="123"/>
      <c r="LQR88" s="123"/>
      <c r="LQS88" s="123"/>
      <c r="LQT88" s="123"/>
      <c r="LQU88" s="123"/>
      <c r="LQV88" s="123"/>
      <c r="LQW88" s="123"/>
      <c r="LQX88" s="123"/>
      <c r="LQY88" s="123"/>
      <c r="LQZ88" s="123"/>
      <c r="LRA88" s="123"/>
      <c r="LRB88" s="123"/>
      <c r="LRC88" s="123"/>
      <c r="LRD88" s="123"/>
      <c r="LRE88" s="123"/>
      <c r="LRF88" s="123"/>
      <c r="LRG88" s="123"/>
      <c r="LRH88" s="123"/>
      <c r="LRI88" s="123"/>
      <c r="LRJ88" s="123"/>
      <c r="LRK88" s="123"/>
      <c r="LRL88" s="123"/>
      <c r="LRM88" s="123"/>
      <c r="LRN88" s="123"/>
      <c r="LRO88" s="123"/>
      <c r="LRP88" s="123"/>
      <c r="LRQ88" s="123"/>
      <c r="LRR88" s="123"/>
      <c r="LRS88" s="123"/>
      <c r="LRT88" s="123"/>
      <c r="LRU88" s="123"/>
      <c r="LRV88" s="123"/>
      <c r="LRW88" s="123"/>
      <c r="LRX88" s="123"/>
      <c r="LRY88" s="123"/>
      <c r="LRZ88" s="123"/>
      <c r="LSA88" s="123"/>
      <c r="LSB88" s="123"/>
      <c r="LSC88" s="123"/>
      <c r="LSD88" s="123"/>
      <c r="LSE88" s="123"/>
      <c r="LSF88" s="123"/>
      <c r="LSG88" s="123"/>
      <c r="LSH88" s="123"/>
      <c r="LSI88" s="123"/>
      <c r="LSJ88" s="123"/>
      <c r="LSK88" s="123"/>
      <c r="LSL88" s="123"/>
      <c r="LSM88" s="123"/>
      <c r="LSN88" s="123"/>
      <c r="LSO88" s="123"/>
      <c r="LSP88" s="123"/>
      <c r="LSQ88" s="123"/>
      <c r="LSR88" s="123"/>
      <c r="LSS88" s="123"/>
      <c r="LST88" s="123"/>
      <c r="LSU88" s="123"/>
      <c r="LSV88" s="123"/>
      <c r="LSW88" s="123"/>
      <c r="LSX88" s="123"/>
      <c r="LSY88" s="123"/>
      <c r="LSZ88" s="123"/>
      <c r="LTA88" s="123"/>
      <c r="LTB88" s="123"/>
      <c r="LTC88" s="123"/>
      <c r="LTD88" s="123"/>
      <c r="LTE88" s="123"/>
      <c r="LTF88" s="123"/>
      <c r="LTG88" s="123"/>
      <c r="LTH88" s="123"/>
      <c r="LTI88" s="123"/>
      <c r="LTJ88" s="123"/>
      <c r="LTK88" s="123"/>
      <c r="LTL88" s="123"/>
      <c r="LTM88" s="123"/>
      <c r="LTN88" s="123"/>
      <c r="LTO88" s="123"/>
      <c r="LTP88" s="123"/>
      <c r="LTQ88" s="123"/>
      <c r="LTR88" s="123"/>
      <c r="LTS88" s="123"/>
      <c r="LTT88" s="123"/>
      <c r="LTU88" s="123"/>
      <c r="LTV88" s="123"/>
      <c r="LTW88" s="123"/>
      <c r="LTX88" s="123"/>
      <c r="LTY88" s="123"/>
      <c r="LTZ88" s="123"/>
      <c r="LUA88" s="123"/>
      <c r="LUB88" s="123"/>
      <c r="LUC88" s="123"/>
      <c r="LUD88" s="123"/>
      <c r="LUE88" s="123"/>
      <c r="LUF88" s="123"/>
      <c r="LUG88" s="123"/>
      <c r="LUH88" s="123"/>
      <c r="LUI88" s="123"/>
      <c r="LUJ88" s="123"/>
      <c r="LUK88" s="123"/>
      <c r="LUL88" s="123"/>
      <c r="LUM88" s="123"/>
      <c r="LUN88" s="123"/>
      <c r="LUO88" s="123"/>
      <c r="LUP88" s="123"/>
      <c r="LUQ88" s="123"/>
      <c r="LUR88" s="123"/>
      <c r="LUS88" s="123"/>
      <c r="LUT88" s="123"/>
      <c r="LUU88" s="123"/>
      <c r="LUV88" s="123"/>
      <c r="LUW88" s="123"/>
      <c r="LUX88" s="123"/>
      <c r="LUY88" s="123"/>
      <c r="LUZ88" s="123"/>
      <c r="LVA88" s="123"/>
      <c r="LVB88" s="123"/>
      <c r="LVC88" s="123"/>
      <c r="LVD88" s="123"/>
      <c r="LVE88" s="123"/>
      <c r="LVF88" s="123"/>
      <c r="LVG88" s="123"/>
      <c r="LVH88" s="123"/>
      <c r="LVI88" s="123"/>
      <c r="LVJ88" s="123"/>
      <c r="LVK88" s="123"/>
      <c r="LVL88" s="123"/>
      <c r="LVM88" s="123"/>
      <c r="LVN88" s="123"/>
      <c r="LVO88" s="123"/>
      <c r="LVP88" s="123"/>
      <c r="LVQ88" s="123"/>
      <c r="LVR88" s="123"/>
      <c r="LVS88" s="123"/>
      <c r="LVT88" s="123"/>
      <c r="LVU88" s="123"/>
      <c r="LVV88" s="123"/>
      <c r="LVW88" s="123"/>
      <c r="LVX88" s="123"/>
      <c r="LVY88" s="123"/>
      <c r="LVZ88" s="123"/>
      <c r="LWA88" s="123"/>
      <c r="LWB88" s="123"/>
      <c r="LWC88" s="123"/>
      <c r="LWD88" s="123"/>
      <c r="LWE88" s="123"/>
      <c r="LWF88" s="123"/>
      <c r="LWG88" s="123"/>
      <c r="LWH88" s="123"/>
      <c r="LWI88" s="123"/>
      <c r="LWJ88" s="123"/>
      <c r="LWK88" s="123"/>
      <c r="LWL88" s="123"/>
      <c r="LWM88" s="123"/>
      <c r="LWN88" s="123"/>
      <c r="LWO88" s="123"/>
      <c r="LWP88" s="123"/>
      <c r="LWQ88" s="123"/>
      <c r="LWR88" s="123"/>
      <c r="LWS88" s="123"/>
      <c r="LWT88" s="123"/>
      <c r="LWU88" s="123"/>
      <c r="LWV88" s="123"/>
      <c r="LWW88" s="123"/>
      <c r="LWX88" s="123"/>
      <c r="LWY88" s="123"/>
      <c r="LWZ88" s="123"/>
      <c r="LXA88" s="123"/>
      <c r="LXB88" s="123"/>
      <c r="LXC88" s="123"/>
      <c r="LXD88" s="123"/>
      <c r="LXE88" s="123"/>
      <c r="LXF88" s="123"/>
      <c r="LXG88" s="123"/>
      <c r="LXH88" s="123"/>
      <c r="LXI88" s="123"/>
      <c r="LXJ88" s="123"/>
      <c r="LXK88" s="123"/>
      <c r="LXL88" s="123"/>
      <c r="LXM88" s="123"/>
      <c r="LXN88" s="123"/>
      <c r="LXO88" s="123"/>
      <c r="LXP88" s="123"/>
      <c r="LXQ88" s="123"/>
      <c r="LXR88" s="123"/>
      <c r="LXS88" s="123"/>
      <c r="LXT88" s="123"/>
      <c r="LXU88" s="123"/>
      <c r="LXV88" s="123"/>
      <c r="LXW88" s="123"/>
      <c r="LXX88" s="123"/>
      <c r="LXY88" s="123"/>
      <c r="LXZ88" s="123"/>
      <c r="LYA88" s="123"/>
      <c r="LYB88" s="123"/>
      <c r="LYC88" s="123"/>
      <c r="LYD88" s="123"/>
      <c r="LYE88" s="123"/>
      <c r="LYF88" s="123"/>
      <c r="LYG88" s="123"/>
      <c r="LYH88" s="123"/>
      <c r="LYI88" s="123"/>
      <c r="LYJ88" s="123"/>
      <c r="LYK88" s="123"/>
      <c r="LYL88" s="123"/>
      <c r="LYM88" s="123"/>
      <c r="LYN88" s="123"/>
      <c r="LYO88" s="123"/>
      <c r="LYP88" s="123"/>
      <c r="LYQ88" s="123"/>
      <c r="LYR88" s="123"/>
      <c r="LYS88" s="123"/>
      <c r="LYT88" s="123"/>
      <c r="LYU88" s="123"/>
      <c r="LYV88" s="123"/>
      <c r="LYW88" s="123"/>
      <c r="LYX88" s="123"/>
      <c r="LYY88" s="123"/>
      <c r="LYZ88" s="123"/>
      <c r="LZA88" s="123"/>
      <c r="LZB88" s="123"/>
      <c r="LZC88" s="123"/>
      <c r="LZD88" s="123"/>
      <c r="LZE88" s="123"/>
      <c r="LZF88" s="123"/>
      <c r="LZG88" s="123"/>
      <c r="LZH88" s="123"/>
      <c r="LZI88" s="123"/>
      <c r="LZJ88" s="123"/>
      <c r="LZK88" s="123"/>
      <c r="LZL88" s="123"/>
      <c r="LZM88" s="123"/>
      <c r="LZN88" s="123"/>
      <c r="LZO88" s="123"/>
      <c r="LZP88" s="123"/>
      <c r="LZQ88" s="123"/>
      <c r="LZR88" s="123"/>
      <c r="LZS88" s="123"/>
      <c r="LZT88" s="123"/>
      <c r="LZU88" s="123"/>
      <c r="LZV88" s="123"/>
      <c r="LZW88" s="123"/>
      <c r="LZX88" s="123"/>
      <c r="LZY88" s="123"/>
      <c r="LZZ88" s="123"/>
      <c r="MAA88" s="123"/>
      <c r="MAB88" s="123"/>
      <c r="MAC88" s="123"/>
      <c r="MAD88" s="123"/>
      <c r="MAE88" s="123"/>
      <c r="MAF88" s="123"/>
      <c r="MAG88" s="123"/>
      <c r="MAH88" s="123"/>
      <c r="MAI88" s="123"/>
      <c r="MAJ88" s="123"/>
      <c r="MAK88" s="123"/>
      <c r="MAL88" s="123"/>
      <c r="MAM88" s="123"/>
      <c r="MAN88" s="123"/>
      <c r="MAO88" s="123"/>
      <c r="MAP88" s="123"/>
      <c r="MAQ88" s="123"/>
      <c r="MAR88" s="123"/>
      <c r="MAS88" s="123"/>
      <c r="MAT88" s="123"/>
      <c r="MAU88" s="123"/>
      <c r="MAV88" s="123"/>
      <c r="MAW88" s="123"/>
      <c r="MAX88" s="123"/>
      <c r="MAY88" s="123"/>
      <c r="MAZ88" s="123"/>
      <c r="MBA88" s="123"/>
      <c r="MBB88" s="123"/>
      <c r="MBC88" s="123"/>
      <c r="MBD88" s="123"/>
      <c r="MBE88" s="123"/>
      <c r="MBF88" s="123"/>
      <c r="MBG88" s="123"/>
      <c r="MBH88" s="123"/>
      <c r="MBI88" s="123"/>
      <c r="MBJ88" s="123"/>
      <c r="MBK88" s="123"/>
      <c r="MBL88" s="123"/>
      <c r="MBM88" s="123"/>
      <c r="MBN88" s="123"/>
      <c r="MBO88" s="123"/>
      <c r="MBP88" s="123"/>
      <c r="MBQ88" s="123"/>
      <c r="MBR88" s="123"/>
      <c r="MBS88" s="123"/>
      <c r="MBT88" s="123"/>
      <c r="MBU88" s="123"/>
      <c r="MBV88" s="123"/>
      <c r="MBW88" s="123"/>
      <c r="MBX88" s="123"/>
      <c r="MBY88" s="123"/>
      <c r="MBZ88" s="123"/>
      <c r="MCA88" s="123"/>
      <c r="MCB88" s="123"/>
      <c r="MCC88" s="123"/>
      <c r="MCD88" s="123"/>
      <c r="MCE88" s="123"/>
      <c r="MCF88" s="123"/>
      <c r="MCG88" s="123"/>
      <c r="MCH88" s="123"/>
      <c r="MCI88" s="123"/>
      <c r="MCJ88" s="123"/>
      <c r="MCK88" s="123"/>
      <c r="MCL88" s="123"/>
      <c r="MCM88" s="123"/>
      <c r="MCN88" s="123"/>
      <c r="MCO88" s="123"/>
      <c r="MCP88" s="123"/>
      <c r="MCQ88" s="123"/>
      <c r="MCR88" s="123"/>
      <c r="MCS88" s="123"/>
      <c r="MCT88" s="123"/>
      <c r="MCU88" s="123"/>
      <c r="MCV88" s="123"/>
      <c r="MCW88" s="123"/>
      <c r="MCX88" s="123"/>
      <c r="MCY88" s="123"/>
      <c r="MCZ88" s="123"/>
      <c r="MDA88" s="123"/>
      <c r="MDB88" s="123"/>
      <c r="MDC88" s="123"/>
      <c r="MDD88" s="123"/>
      <c r="MDE88" s="123"/>
      <c r="MDF88" s="123"/>
      <c r="MDG88" s="123"/>
      <c r="MDH88" s="123"/>
      <c r="MDI88" s="123"/>
      <c r="MDJ88" s="123"/>
      <c r="MDK88" s="123"/>
      <c r="MDL88" s="123"/>
      <c r="MDM88" s="123"/>
      <c r="MDN88" s="123"/>
      <c r="MDO88" s="123"/>
      <c r="MDP88" s="123"/>
      <c r="MDQ88" s="123"/>
      <c r="MDR88" s="123"/>
      <c r="MDS88" s="123"/>
      <c r="MDT88" s="123"/>
      <c r="MDU88" s="123"/>
      <c r="MDV88" s="123"/>
      <c r="MDW88" s="123"/>
      <c r="MDX88" s="123"/>
      <c r="MDY88" s="123"/>
      <c r="MDZ88" s="123"/>
      <c r="MEA88" s="123"/>
      <c r="MEB88" s="123"/>
      <c r="MEC88" s="123"/>
      <c r="MED88" s="123"/>
      <c r="MEE88" s="123"/>
      <c r="MEF88" s="123"/>
      <c r="MEG88" s="123"/>
      <c r="MEH88" s="123"/>
      <c r="MEI88" s="123"/>
      <c r="MEJ88" s="123"/>
      <c r="MEK88" s="123"/>
      <c r="MEL88" s="123"/>
      <c r="MEM88" s="123"/>
      <c r="MEN88" s="123"/>
      <c r="MEO88" s="123"/>
      <c r="MEP88" s="123"/>
      <c r="MEQ88" s="123"/>
      <c r="MER88" s="123"/>
      <c r="MES88" s="123"/>
      <c r="MET88" s="123"/>
      <c r="MEU88" s="123"/>
      <c r="MEV88" s="123"/>
      <c r="MEW88" s="123"/>
      <c r="MEX88" s="123"/>
      <c r="MEY88" s="123"/>
      <c r="MEZ88" s="123"/>
      <c r="MFA88" s="123"/>
      <c r="MFB88" s="123"/>
      <c r="MFC88" s="123"/>
      <c r="MFD88" s="123"/>
      <c r="MFE88" s="123"/>
      <c r="MFF88" s="123"/>
      <c r="MFG88" s="123"/>
      <c r="MFH88" s="123"/>
      <c r="MFI88" s="123"/>
      <c r="MFJ88" s="123"/>
      <c r="MFK88" s="123"/>
      <c r="MFL88" s="123"/>
      <c r="MFM88" s="123"/>
      <c r="MFN88" s="123"/>
      <c r="MFO88" s="123"/>
      <c r="MFP88" s="123"/>
      <c r="MFQ88" s="123"/>
      <c r="MFR88" s="123"/>
      <c r="MFS88" s="123"/>
      <c r="MFT88" s="123"/>
      <c r="MFU88" s="123"/>
      <c r="MFV88" s="123"/>
      <c r="MFW88" s="123"/>
      <c r="MFX88" s="123"/>
      <c r="MFY88" s="123"/>
      <c r="MFZ88" s="123"/>
      <c r="MGA88" s="123"/>
      <c r="MGB88" s="123"/>
      <c r="MGC88" s="123"/>
      <c r="MGD88" s="123"/>
      <c r="MGE88" s="123"/>
      <c r="MGF88" s="123"/>
      <c r="MGG88" s="123"/>
      <c r="MGH88" s="123"/>
      <c r="MGI88" s="123"/>
      <c r="MGJ88" s="123"/>
      <c r="MGK88" s="123"/>
      <c r="MGL88" s="123"/>
      <c r="MGM88" s="123"/>
      <c r="MGN88" s="123"/>
      <c r="MGO88" s="123"/>
      <c r="MGP88" s="123"/>
      <c r="MGQ88" s="123"/>
      <c r="MGR88" s="123"/>
      <c r="MGS88" s="123"/>
      <c r="MGT88" s="123"/>
      <c r="MGU88" s="123"/>
      <c r="MGV88" s="123"/>
      <c r="MGW88" s="123"/>
      <c r="MGX88" s="123"/>
      <c r="MGY88" s="123"/>
      <c r="MGZ88" s="123"/>
      <c r="MHA88" s="123"/>
      <c r="MHB88" s="123"/>
      <c r="MHC88" s="123"/>
      <c r="MHD88" s="123"/>
      <c r="MHE88" s="123"/>
      <c r="MHF88" s="123"/>
      <c r="MHG88" s="123"/>
      <c r="MHH88" s="123"/>
      <c r="MHI88" s="123"/>
      <c r="MHJ88" s="123"/>
      <c r="MHK88" s="123"/>
      <c r="MHL88" s="123"/>
      <c r="MHM88" s="123"/>
      <c r="MHN88" s="123"/>
      <c r="MHO88" s="123"/>
      <c r="MHP88" s="123"/>
      <c r="MHQ88" s="123"/>
      <c r="MHR88" s="123"/>
      <c r="MHS88" s="123"/>
      <c r="MHT88" s="123"/>
      <c r="MHU88" s="123"/>
      <c r="MHV88" s="123"/>
      <c r="MHW88" s="123"/>
      <c r="MHX88" s="123"/>
      <c r="MHY88" s="123"/>
      <c r="MHZ88" s="123"/>
      <c r="MIA88" s="123"/>
      <c r="MIB88" s="123"/>
      <c r="MIC88" s="123"/>
      <c r="MID88" s="123"/>
      <c r="MIE88" s="123"/>
      <c r="MIF88" s="123"/>
      <c r="MIG88" s="123"/>
      <c r="MIH88" s="123"/>
      <c r="MII88" s="123"/>
      <c r="MIJ88" s="123"/>
      <c r="MIK88" s="123"/>
      <c r="MIL88" s="123"/>
      <c r="MIM88" s="123"/>
      <c r="MIN88" s="123"/>
      <c r="MIO88" s="123"/>
      <c r="MIP88" s="123"/>
      <c r="MIQ88" s="123"/>
      <c r="MIR88" s="123"/>
      <c r="MIS88" s="123"/>
      <c r="MIT88" s="123"/>
      <c r="MIU88" s="123"/>
      <c r="MIV88" s="123"/>
      <c r="MIW88" s="123"/>
      <c r="MIX88" s="123"/>
      <c r="MIY88" s="123"/>
      <c r="MIZ88" s="123"/>
      <c r="MJA88" s="123"/>
      <c r="MJB88" s="123"/>
      <c r="MJC88" s="123"/>
      <c r="MJD88" s="123"/>
      <c r="MJE88" s="123"/>
      <c r="MJF88" s="123"/>
      <c r="MJG88" s="123"/>
      <c r="MJH88" s="123"/>
      <c r="MJI88" s="123"/>
      <c r="MJJ88" s="123"/>
      <c r="MJK88" s="123"/>
      <c r="MJL88" s="123"/>
      <c r="MJM88" s="123"/>
      <c r="MJN88" s="123"/>
      <c r="MJO88" s="123"/>
      <c r="MJP88" s="123"/>
      <c r="MJQ88" s="123"/>
      <c r="MJR88" s="123"/>
      <c r="MJS88" s="123"/>
      <c r="MJT88" s="123"/>
      <c r="MJU88" s="123"/>
      <c r="MJV88" s="123"/>
      <c r="MJW88" s="123"/>
      <c r="MJX88" s="123"/>
      <c r="MJY88" s="123"/>
      <c r="MJZ88" s="123"/>
      <c r="MKA88" s="123"/>
      <c r="MKB88" s="123"/>
      <c r="MKC88" s="123"/>
      <c r="MKD88" s="123"/>
      <c r="MKE88" s="123"/>
      <c r="MKF88" s="123"/>
      <c r="MKG88" s="123"/>
      <c r="MKH88" s="123"/>
      <c r="MKI88" s="123"/>
      <c r="MKJ88" s="123"/>
      <c r="MKK88" s="123"/>
      <c r="MKL88" s="123"/>
      <c r="MKM88" s="123"/>
      <c r="MKN88" s="123"/>
      <c r="MKO88" s="123"/>
      <c r="MKP88" s="123"/>
      <c r="MKQ88" s="123"/>
      <c r="MKR88" s="123"/>
      <c r="MKS88" s="123"/>
      <c r="MKT88" s="123"/>
      <c r="MKU88" s="123"/>
      <c r="MKV88" s="123"/>
      <c r="MKW88" s="123"/>
      <c r="MKX88" s="123"/>
      <c r="MKY88" s="123"/>
      <c r="MKZ88" s="123"/>
      <c r="MLA88" s="123"/>
      <c r="MLB88" s="123"/>
      <c r="MLC88" s="123"/>
      <c r="MLD88" s="123"/>
      <c r="MLE88" s="123"/>
      <c r="MLF88" s="123"/>
      <c r="MLG88" s="123"/>
      <c r="MLH88" s="123"/>
      <c r="MLI88" s="123"/>
      <c r="MLJ88" s="123"/>
      <c r="MLK88" s="123"/>
      <c r="MLL88" s="123"/>
      <c r="MLM88" s="123"/>
      <c r="MLN88" s="123"/>
      <c r="MLO88" s="123"/>
      <c r="MLP88" s="123"/>
      <c r="MLQ88" s="123"/>
      <c r="MLR88" s="123"/>
      <c r="MLS88" s="123"/>
      <c r="MLT88" s="123"/>
      <c r="MLU88" s="123"/>
      <c r="MLV88" s="123"/>
      <c r="MLW88" s="123"/>
      <c r="MLX88" s="123"/>
      <c r="MLY88" s="123"/>
      <c r="MLZ88" s="123"/>
      <c r="MMA88" s="123"/>
      <c r="MMB88" s="123"/>
      <c r="MMC88" s="123"/>
      <c r="MMD88" s="123"/>
      <c r="MME88" s="123"/>
      <c r="MMF88" s="123"/>
      <c r="MMG88" s="123"/>
      <c r="MMH88" s="123"/>
      <c r="MMI88" s="123"/>
      <c r="MMJ88" s="123"/>
      <c r="MMK88" s="123"/>
      <c r="MML88" s="123"/>
      <c r="MMM88" s="123"/>
      <c r="MMN88" s="123"/>
      <c r="MMO88" s="123"/>
      <c r="MMP88" s="123"/>
      <c r="MMQ88" s="123"/>
      <c r="MMR88" s="123"/>
      <c r="MMS88" s="123"/>
      <c r="MMT88" s="123"/>
      <c r="MMU88" s="123"/>
      <c r="MMV88" s="123"/>
      <c r="MMW88" s="123"/>
      <c r="MMX88" s="123"/>
      <c r="MMY88" s="123"/>
      <c r="MMZ88" s="123"/>
      <c r="MNA88" s="123"/>
      <c r="MNB88" s="123"/>
      <c r="MNC88" s="123"/>
      <c r="MND88" s="123"/>
      <c r="MNE88" s="123"/>
      <c r="MNF88" s="123"/>
      <c r="MNG88" s="123"/>
      <c r="MNH88" s="123"/>
      <c r="MNI88" s="123"/>
      <c r="MNJ88" s="123"/>
      <c r="MNK88" s="123"/>
      <c r="MNL88" s="123"/>
      <c r="MNM88" s="123"/>
      <c r="MNN88" s="123"/>
      <c r="MNO88" s="123"/>
      <c r="MNP88" s="123"/>
      <c r="MNQ88" s="123"/>
      <c r="MNR88" s="123"/>
      <c r="MNS88" s="123"/>
      <c r="MNT88" s="123"/>
      <c r="MNU88" s="123"/>
      <c r="MNV88" s="123"/>
      <c r="MNW88" s="123"/>
      <c r="MNX88" s="123"/>
      <c r="MNY88" s="123"/>
      <c r="MNZ88" s="123"/>
      <c r="MOA88" s="123"/>
      <c r="MOB88" s="123"/>
      <c r="MOC88" s="123"/>
      <c r="MOD88" s="123"/>
      <c r="MOE88" s="123"/>
      <c r="MOF88" s="123"/>
      <c r="MOG88" s="123"/>
      <c r="MOH88" s="123"/>
      <c r="MOI88" s="123"/>
      <c r="MOJ88" s="123"/>
      <c r="MOK88" s="123"/>
      <c r="MOL88" s="123"/>
      <c r="MOM88" s="123"/>
      <c r="MON88" s="123"/>
      <c r="MOO88" s="123"/>
      <c r="MOP88" s="123"/>
      <c r="MOQ88" s="123"/>
      <c r="MOR88" s="123"/>
      <c r="MOS88" s="123"/>
      <c r="MOT88" s="123"/>
      <c r="MOU88" s="123"/>
      <c r="MOV88" s="123"/>
      <c r="MOW88" s="123"/>
      <c r="MOX88" s="123"/>
      <c r="MOY88" s="123"/>
      <c r="MOZ88" s="123"/>
      <c r="MPA88" s="123"/>
      <c r="MPB88" s="123"/>
      <c r="MPC88" s="123"/>
      <c r="MPD88" s="123"/>
      <c r="MPE88" s="123"/>
      <c r="MPF88" s="123"/>
      <c r="MPG88" s="123"/>
      <c r="MPH88" s="123"/>
      <c r="MPI88" s="123"/>
      <c r="MPJ88" s="123"/>
      <c r="MPK88" s="123"/>
      <c r="MPL88" s="123"/>
      <c r="MPM88" s="123"/>
      <c r="MPN88" s="123"/>
      <c r="MPO88" s="123"/>
      <c r="MPP88" s="123"/>
      <c r="MPQ88" s="123"/>
      <c r="MPR88" s="123"/>
      <c r="MPS88" s="123"/>
      <c r="MPT88" s="123"/>
      <c r="MPU88" s="123"/>
      <c r="MPV88" s="123"/>
      <c r="MPW88" s="123"/>
      <c r="MPX88" s="123"/>
      <c r="MPY88" s="123"/>
      <c r="MPZ88" s="123"/>
      <c r="MQA88" s="123"/>
      <c r="MQB88" s="123"/>
      <c r="MQC88" s="123"/>
      <c r="MQD88" s="123"/>
      <c r="MQE88" s="123"/>
      <c r="MQF88" s="123"/>
      <c r="MQG88" s="123"/>
      <c r="MQH88" s="123"/>
      <c r="MQI88" s="123"/>
      <c r="MQJ88" s="123"/>
      <c r="MQK88" s="123"/>
      <c r="MQL88" s="123"/>
      <c r="MQM88" s="123"/>
      <c r="MQN88" s="123"/>
      <c r="MQO88" s="123"/>
      <c r="MQP88" s="123"/>
      <c r="MQQ88" s="123"/>
      <c r="MQR88" s="123"/>
      <c r="MQS88" s="123"/>
      <c r="MQT88" s="123"/>
      <c r="MQU88" s="123"/>
      <c r="MQV88" s="123"/>
      <c r="MQW88" s="123"/>
      <c r="MQX88" s="123"/>
      <c r="MQY88" s="123"/>
      <c r="MQZ88" s="123"/>
      <c r="MRA88" s="123"/>
      <c r="MRB88" s="123"/>
      <c r="MRC88" s="123"/>
      <c r="MRD88" s="123"/>
      <c r="MRE88" s="123"/>
      <c r="MRF88" s="123"/>
      <c r="MRG88" s="123"/>
      <c r="MRH88" s="123"/>
      <c r="MRI88" s="123"/>
      <c r="MRJ88" s="123"/>
      <c r="MRK88" s="123"/>
      <c r="MRL88" s="123"/>
      <c r="MRM88" s="123"/>
      <c r="MRN88" s="123"/>
      <c r="MRO88" s="123"/>
      <c r="MRP88" s="123"/>
      <c r="MRQ88" s="123"/>
      <c r="MRR88" s="123"/>
      <c r="MRS88" s="123"/>
      <c r="MRT88" s="123"/>
      <c r="MRU88" s="123"/>
      <c r="MRV88" s="123"/>
      <c r="MRW88" s="123"/>
      <c r="MRX88" s="123"/>
      <c r="MRY88" s="123"/>
      <c r="MRZ88" s="123"/>
      <c r="MSA88" s="123"/>
      <c r="MSB88" s="123"/>
      <c r="MSC88" s="123"/>
      <c r="MSD88" s="123"/>
      <c r="MSE88" s="123"/>
      <c r="MSF88" s="123"/>
      <c r="MSG88" s="123"/>
      <c r="MSH88" s="123"/>
      <c r="MSI88" s="123"/>
      <c r="MSJ88" s="123"/>
      <c r="MSK88" s="123"/>
      <c r="MSL88" s="123"/>
      <c r="MSM88" s="123"/>
      <c r="MSN88" s="123"/>
      <c r="MSO88" s="123"/>
      <c r="MSP88" s="123"/>
      <c r="MSQ88" s="123"/>
      <c r="MSR88" s="123"/>
      <c r="MSS88" s="123"/>
      <c r="MST88" s="123"/>
      <c r="MSU88" s="123"/>
      <c r="MSV88" s="123"/>
      <c r="MSW88" s="123"/>
      <c r="MSX88" s="123"/>
      <c r="MSY88" s="123"/>
      <c r="MSZ88" s="123"/>
      <c r="MTA88" s="123"/>
      <c r="MTB88" s="123"/>
      <c r="MTC88" s="123"/>
      <c r="MTD88" s="123"/>
      <c r="MTE88" s="123"/>
      <c r="MTF88" s="123"/>
      <c r="MTG88" s="123"/>
      <c r="MTH88" s="123"/>
      <c r="MTI88" s="123"/>
      <c r="MTJ88" s="123"/>
      <c r="MTK88" s="123"/>
      <c r="MTL88" s="123"/>
      <c r="MTM88" s="123"/>
      <c r="MTN88" s="123"/>
      <c r="MTO88" s="123"/>
      <c r="MTP88" s="123"/>
      <c r="MTQ88" s="123"/>
      <c r="MTR88" s="123"/>
      <c r="MTS88" s="123"/>
      <c r="MTT88" s="123"/>
      <c r="MTU88" s="123"/>
      <c r="MTV88" s="123"/>
      <c r="MTW88" s="123"/>
      <c r="MTX88" s="123"/>
      <c r="MTY88" s="123"/>
      <c r="MTZ88" s="123"/>
      <c r="MUA88" s="123"/>
      <c r="MUB88" s="123"/>
      <c r="MUC88" s="123"/>
      <c r="MUD88" s="123"/>
      <c r="MUE88" s="123"/>
      <c r="MUF88" s="123"/>
      <c r="MUG88" s="123"/>
      <c r="MUH88" s="123"/>
      <c r="MUI88" s="123"/>
      <c r="MUJ88" s="123"/>
      <c r="MUK88" s="123"/>
      <c r="MUL88" s="123"/>
      <c r="MUM88" s="123"/>
      <c r="MUN88" s="123"/>
      <c r="MUO88" s="123"/>
      <c r="MUP88" s="123"/>
      <c r="MUQ88" s="123"/>
      <c r="MUR88" s="123"/>
      <c r="MUS88" s="123"/>
      <c r="MUT88" s="123"/>
      <c r="MUU88" s="123"/>
      <c r="MUV88" s="123"/>
      <c r="MUW88" s="123"/>
      <c r="MUX88" s="123"/>
      <c r="MUY88" s="123"/>
      <c r="MUZ88" s="123"/>
      <c r="MVA88" s="123"/>
      <c r="MVB88" s="123"/>
      <c r="MVC88" s="123"/>
      <c r="MVD88" s="123"/>
      <c r="MVE88" s="123"/>
      <c r="MVF88" s="123"/>
      <c r="MVG88" s="123"/>
      <c r="MVH88" s="123"/>
      <c r="MVI88" s="123"/>
      <c r="MVJ88" s="123"/>
      <c r="MVK88" s="123"/>
      <c r="MVL88" s="123"/>
      <c r="MVM88" s="123"/>
      <c r="MVN88" s="123"/>
      <c r="MVO88" s="123"/>
      <c r="MVP88" s="123"/>
      <c r="MVQ88" s="123"/>
      <c r="MVR88" s="123"/>
      <c r="MVS88" s="123"/>
      <c r="MVT88" s="123"/>
      <c r="MVU88" s="123"/>
      <c r="MVV88" s="123"/>
      <c r="MVW88" s="123"/>
      <c r="MVX88" s="123"/>
      <c r="MVY88" s="123"/>
      <c r="MVZ88" s="123"/>
      <c r="MWA88" s="123"/>
      <c r="MWB88" s="123"/>
      <c r="MWC88" s="123"/>
      <c r="MWD88" s="123"/>
      <c r="MWE88" s="123"/>
      <c r="MWF88" s="123"/>
      <c r="MWG88" s="123"/>
      <c r="MWH88" s="123"/>
      <c r="MWI88" s="123"/>
      <c r="MWJ88" s="123"/>
      <c r="MWK88" s="123"/>
      <c r="MWL88" s="123"/>
      <c r="MWM88" s="123"/>
      <c r="MWN88" s="123"/>
      <c r="MWO88" s="123"/>
      <c r="MWP88" s="123"/>
      <c r="MWQ88" s="123"/>
      <c r="MWR88" s="123"/>
      <c r="MWS88" s="123"/>
      <c r="MWT88" s="123"/>
      <c r="MWU88" s="123"/>
      <c r="MWV88" s="123"/>
      <c r="MWW88" s="123"/>
      <c r="MWX88" s="123"/>
      <c r="MWY88" s="123"/>
      <c r="MWZ88" s="123"/>
      <c r="MXA88" s="123"/>
      <c r="MXB88" s="123"/>
      <c r="MXC88" s="123"/>
      <c r="MXD88" s="123"/>
      <c r="MXE88" s="123"/>
      <c r="MXF88" s="123"/>
      <c r="MXG88" s="123"/>
      <c r="MXH88" s="123"/>
      <c r="MXI88" s="123"/>
      <c r="MXJ88" s="123"/>
      <c r="MXK88" s="123"/>
      <c r="MXL88" s="123"/>
      <c r="MXM88" s="123"/>
      <c r="MXN88" s="123"/>
      <c r="MXO88" s="123"/>
      <c r="MXP88" s="123"/>
      <c r="MXQ88" s="123"/>
      <c r="MXR88" s="123"/>
      <c r="MXS88" s="123"/>
      <c r="MXT88" s="123"/>
      <c r="MXU88" s="123"/>
      <c r="MXV88" s="123"/>
      <c r="MXW88" s="123"/>
      <c r="MXX88" s="123"/>
      <c r="MXY88" s="123"/>
      <c r="MXZ88" s="123"/>
      <c r="MYA88" s="123"/>
      <c r="MYB88" s="123"/>
      <c r="MYC88" s="123"/>
      <c r="MYD88" s="123"/>
      <c r="MYE88" s="123"/>
      <c r="MYF88" s="123"/>
      <c r="MYG88" s="123"/>
      <c r="MYH88" s="123"/>
      <c r="MYI88" s="123"/>
      <c r="MYJ88" s="123"/>
      <c r="MYK88" s="123"/>
      <c r="MYL88" s="123"/>
      <c r="MYM88" s="123"/>
      <c r="MYN88" s="123"/>
      <c r="MYO88" s="123"/>
      <c r="MYP88" s="123"/>
      <c r="MYQ88" s="123"/>
      <c r="MYR88" s="123"/>
      <c r="MYS88" s="123"/>
      <c r="MYT88" s="123"/>
      <c r="MYU88" s="123"/>
      <c r="MYV88" s="123"/>
      <c r="MYW88" s="123"/>
      <c r="MYX88" s="123"/>
      <c r="MYY88" s="123"/>
      <c r="MYZ88" s="123"/>
      <c r="MZA88" s="123"/>
      <c r="MZB88" s="123"/>
      <c r="MZC88" s="123"/>
      <c r="MZD88" s="123"/>
      <c r="MZE88" s="123"/>
      <c r="MZF88" s="123"/>
      <c r="MZG88" s="123"/>
      <c r="MZH88" s="123"/>
      <c r="MZI88" s="123"/>
      <c r="MZJ88" s="123"/>
      <c r="MZK88" s="123"/>
      <c r="MZL88" s="123"/>
      <c r="MZM88" s="123"/>
      <c r="MZN88" s="123"/>
      <c r="MZO88" s="123"/>
      <c r="MZP88" s="123"/>
      <c r="MZQ88" s="123"/>
      <c r="MZR88" s="123"/>
      <c r="MZS88" s="123"/>
      <c r="MZT88" s="123"/>
      <c r="MZU88" s="123"/>
      <c r="MZV88" s="123"/>
      <c r="MZW88" s="123"/>
      <c r="MZX88" s="123"/>
      <c r="MZY88" s="123"/>
      <c r="MZZ88" s="123"/>
      <c r="NAA88" s="123"/>
      <c r="NAB88" s="123"/>
      <c r="NAC88" s="123"/>
      <c r="NAD88" s="123"/>
      <c r="NAE88" s="123"/>
      <c r="NAF88" s="123"/>
      <c r="NAG88" s="123"/>
      <c r="NAH88" s="123"/>
      <c r="NAI88" s="123"/>
      <c r="NAJ88" s="123"/>
      <c r="NAK88" s="123"/>
      <c r="NAL88" s="123"/>
      <c r="NAM88" s="123"/>
      <c r="NAN88" s="123"/>
      <c r="NAO88" s="123"/>
      <c r="NAP88" s="123"/>
      <c r="NAQ88" s="123"/>
      <c r="NAR88" s="123"/>
      <c r="NAS88" s="123"/>
      <c r="NAT88" s="123"/>
      <c r="NAU88" s="123"/>
      <c r="NAV88" s="123"/>
      <c r="NAW88" s="123"/>
      <c r="NAX88" s="123"/>
      <c r="NAY88" s="123"/>
      <c r="NAZ88" s="123"/>
      <c r="NBA88" s="123"/>
      <c r="NBB88" s="123"/>
      <c r="NBC88" s="123"/>
      <c r="NBD88" s="123"/>
      <c r="NBE88" s="123"/>
      <c r="NBF88" s="123"/>
      <c r="NBG88" s="123"/>
      <c r="NBH88" s="123"/>
      <c r="NBI88" s="123"/>
      <c r="NBJ88" s="123"/>
      <c r="NBK88" s="123"/>
      <c r="NBL88" s="123"/>
      <c r="NBM88" s="123"/>
      <c r="NBN88" s="123"/>
      <c r="NBO88" s="123"/>
      <c r="NBP88" s="123"/>
      <c r="NBQ88" s="123"/>
      <c r="NBR88" s="123"/>
      <c r="NBS88" s="123"/>
      <c r="NBT88" s="123"/>
      <c r="NBU88" s="123"/>
      <c r="NBV88" s="123"/>
      <c r="NBW88" s="123"/>
      <c r="NBX88" s="123"/>
      <c r="NBY88" s="123"/>
      <c r="NBZ88" s="123"/>
      <c r="NCA88" s="123"/>
      <c r="NCB88" s="123"/>
      <c r="NCC88" s="123"/>
      <c r="NCD88" s="123"/>
      <c r="NCE88" s="123"/>
      <c r="NCF88" s="123"/>
      <c r="NCG88" s="123"/>
      <c r="NCH88" s="123"/>
      <c r="NCI88" s="123"/>
      <c r="NCJ88" s="123"/>
      <c r="NCK88" s="123"/>
      <c r="NCL88" s="123"/>
      <c r="NCM88" s="123"/>
      <c r="NCN88" s="123"/>
      <c r="NCO88" s="123"/>
      <c r="NCP88" s="123"/>
      <c r="NCQ88" s="123"/>
      <c r="NCR88" s="123"/>
      <c r="NCS88" s="123"/>
      <c r="NCT88" s="123"/>
      <c r="NCU88" s="123"/>
      <c r="NCV88" s="123"/>
      <c r="NCW88" s="123"/>
      <c r="NCX88" s="123"/>
      <c r="NCY88" s="123"/>
      <c r="NCZ88" s="123"/>
      <c r="NDA88" s="123"/>
      <c r="NDB88" s="123"/>
      <c r="NDC88" s="123"/>
      <c r="NDD88" s="123"/>
      <c r="NDE88" s="123"/>
      <c r="NDF88" s="123"/>
      <c r="NDG88" s="123"/>
      <c r="NDH88" s="123"/>
      <c r="NDI88" s="123"/>
      <c r="NDJ88" s="123"/>
      <c r="NDK88" s="123"/>
      <c r="NDL88" s="123"/>
      <c r="NDM88" s="123"/>
      <c r="NDN88" s="123"/>
      <c r="NDO88" s="123"/>
      <c r="NDP88" s="123"/>
      <c r="NDQ88" s="123"/>
      <c r="NDR88" s="123"/>
      <c r="NDS88" s="123"/>
      <c r="NDT88" s="123"/>
      <c r="NDU88" s="123"/>
      <c r="NDV88" s="123"/>
      <c r="NDW88" s="123"/>
      <c r="NDX88" s="123"/>
      <c r="NDY88" s="123"/>
      <c r="NDZ88" s="123"/>
      <c r="NEA88" s="123"/>
      <c r="NEB88" s="123"/>
      <c r="NEC88" s="123"/>
      <c r="NED88" s="123"/>
      <c r="NEE88" s="123"/>
      <c r="NEF88" s="123"/>
      <c r="NEG88" s="123"/>
      <c r="NEH88" s="123"/>
      <c r="NEI88" s="123"/>
      <c r="NEJ88" s="123"/>
      <c r="NEK88" s="123"/>
      <c r="NEL88" s="123"/>
      <c r="NEM88" s="123"/>
      <c r="NEN88" s="123"/>
      <c r="NEO88" s="123"/>
      <c r="NEP88" s="123"/>
      <c r="NEQ88" s="123"/>
      <c r="NER88" s="123"/>
      <c r="NES88" s="123"/>
      <c r="NET88" s="123"/>
      <c r="NEU88" s="123"/>
      <c r="NEV88" s="123"/>
      <c r="NEW88" s="123"/>
      <c r="NEX88" s="123"/>
      <c r="NEY88" s="123"/>
      <c r="NEZ88" s="123"/>
      <c r="NFA88" s="123"/>
      <c r="NFB88" s="123"/>
      <c r="NFC88" s="123"/>
      <c r="NFD88" s="123"/>
      <c r="NFE88" s="123"/>
      <c r="NFF88" s="123"/>
      <c r="NFG88" s="123"/>
      <c r="NFH88" s="123"/>
      <c r="NFI88" s="123"/>
      <c r="NFJ88" s="123"/>
      <c r="NFK88" s="123"/>
      <c r="NFL88" s="123"/>
      <c r="NFM88" s="123"/>
      <c r="NFN88" s="123"/>
      <c r="NFO88" s="123"/>
      <c r="NFP88" s="123"/>
      <c r="NFQ88" s="123"/>
      <c r="NFR88" s="123"/>
      <c r="NFS88" s="123"/>
      <c r="NFT88" s="123"/>
      <c r="NFU88" s="123"/>
      <c r="NFV88" s="123"/>
      <c r="NFW88" s="123"/>
      <c r="NFX88" s="123"/>
      <c r="NFY88" s="123"/>
      <c r="NFZ88" s="123"/>
      <c r="NGA88" s="123"/>
      <c r="NGB88" s="123"/>
      <c r="NGC88" s="123"/>
      <c r="NGD88" s="123"/>
      <c r="NGE88" s="123"/>
      <c r="NGF88" s="123"/>
      <c r="NGG88" s="123"/>
      <c r="NGH88" s="123"/>
      <c r="NGI88" s="123"/>
      <c r="NGJ88" s="123"/>
      <c r="NGK88" s="123"/>
      <c r="NGL88" s="123"/>
      <c r="NGM88" s="123"/>
      <c r="NGN88" s="123"/>
      <c r="NGO88" s="123"/>
      <c r="NGP88" s="123"/>
      <c r="NGQ88" s="123"/>
      <c r="NGR88" s="123"/>
      <c r="NGS88" s="123"/>
      <c r="NGT88" s="123"/>
      <c r="NGU88" s="123"/>
      <c r="NGV88" s="123"/>
      <c r="NGW88" s="123"/>
      <c r="NGX88" s="123"/>
      <c r="NGY88" s="123"/>
      <c r="NGZ88" s="123"/>
      <c r="NHA88" s="123"/>
      <c r="NHB88" s="123"/>
      <c r="NHC88" s="123"/>
      <c r="NHD88" s="123"/>
      <c r="NHE88" s="123"/>
      <c r="NHF88" s="123"/>
      <c r="NHG88" s="123"/>
      <c r="NHH88" s="123"/>
      <c r="NHI88" s="123"/>
      <c r="NHJ88" s="123"/>
      <c r="NHK88" s="123"/>
      <c r="NHL88" s="123"/>
      <c r="NHM88" s="123"/>
      <c r="NHN88" s="123"/>
      <c r="NHO88" s="123"/>
      <c r="NHP88" s="123"/>
      <c r="NHQ88" s="123"/>
      <c r="NHR88" s="123"/>
      <c r="NHS88" s="123"/>
      <c r="NHT88" s="123"/>
      <c r="NHU88" s="123"/>
      <c r="NHV88" s="123"/>
      <c r="NHW88" s="123"/>
      <c r="NHX88" s="123"/>
      <c r="NHY88" s="123"/>
      <c r="NHZ88" s="123"/>
      <c r="NIA88" s="123"/>
      <c r="NIB88" s="123"/>
      <c r="NIC88" s="123"/>
      <c r="NID88" s="123"/>
      <c r="NIE88" s="123"/>
      <c r="NIF88" s="123"/>
      <c r="NIG88" s="123"/>
      <c r="NIH88" s="123"/>
      <c r="NII88" s="123"/>
      <c r="NIJ88" s="123"/>
      <c r="NIK88" s="123"/>
      <c r="NIL88" s="123"/>
      <c r="NIM88" s="123"/>
      <c r="NIN88" s="123"/>
      <c r="NIO88" s="123"/>
      <c r="NIP88" s="123"/>
      <c r="NIQ88" s="123"/>
      <c r="NIR88" s="123"/>
      <c r="NIS88" s="123"/>
      <c r="NIT88" s="123"/>
      <c r="NIU88" s="123"/>
      <c r="NIV88" s="123"/>
      <c r="NIW88" s="123"/>
      <c r="NIX88" s="123"/>
      <c r="NIY88" s="123"/>
      <c r="NIZ88" s="123"/>
      <c r="NJA88" s="123"/>
      <c r="NJB88" s="123"/>
      <c r="NJC88" s="123"/>
      <c r="NJD88" s="123"/>
      <c r="NJE88" s="123"/>
      <c r="NJF88" s="123"/>
      <c r="NJG88" s="123"/>
      <c r="NJH88" s="123"/>
      <c r="NJI88" s="123"/>
      <c r="NJJ88" s="123"/>
      <c r="NJK88" s="123"/>
      <c r="NJL88" s="123"/>
      <c r="NJM88" s="123"/>
      <c r="NJN88" s="123"/>
      <c r="NJO88" s="123"/>
      <c r="NJP88" s="123"/>
      <c r="NJQ88" s="123"/>
      <c r="NJR88" s="123"/>
      <c r="NJS88" s="123"/>
      <c r="NJT88" s="123"/>
      <c r="NJU88" s="123"/>
      <c r="NJV88" s="123"/>
      <c r="NJW88" s="123"/>
      <c r="NJX88" s="123"/>
      <c r="NJY88" s="123"/>
      <c r="NJZ88" s="123"/>
      <c r="NKA88" s="123"/>
      <c r="NKB88" s="123"/>
      <c r="NKC88" s="123"/>
      <c r="NKD88" s="123"/>
      <c r="NKE88" s="123"/>
      <c r="NKF88" s="123"/>
      <c r="NKG88" s="123"/>
      <c r="NKH88" s="123"/>
      <c r="NKI88" s="123"/>
      <c r="NKJ88" s="123"/>
      <c r="NKK88" s="123"/>
      <c r="NKL88" s="123"/>
      <c r="NKM88" s="123"/>
      <c r="NKN88" s="123"/>
      <c r="NKO88" s="123"/>
      <c r="NKP88" s="123"/>
      <c r="NKQ88" s="123"/>
      <c r="NKR88" s="123"/>
      <c r="NKS88" s="123"/>
      <c r="NKT88" s="123"/>
      <c r="NKU88" s="123"/>
      <c r="NKV88" s="123"/>
      <c r="NKW88" s="123"/>
      <c r="NKX88" s="123"/>
      <c r="NKY88" s="123"/>
      <c r="NKZ88" s="123"/>
      <c r="NLA88" s="123"/>
      <c r="NLB88" s="123"/>
      <c r="NLC88" s="123"/>
      <c r="NLD88" s="123"/>
      <c r="NLE88" s="123"/>
      <c r="NLF88" s="123"/>
      <c r="NLG88" s="123"/>
      <c r="NLH88" s="123"/>
      <c r="NLI88" s="123"/>
      <c r="NLJ88" s="123"/>
      <c r="NLK88" s="123"/>
      <c r="NLL88" s="123"/>
      <c r="NLM88" s="123"/>
      <c r="NLN88" s="123"/>
      <c r="NLO88" s="123"/>
      <c r="NLP88" s="123"/>
      <c r="NLQ88" s="123"/>
      <c r="NLR88" s="123"/>
      <c r="NLS88" s="123"/>
      <c r="NLT88" s="123"/>
      <c r="NLU88" s="123"/>
      <c r="NLV88" s="123"/>
      <c r="NLW88" s="123"/>
      <c r="NLX88" s="123"/>
      <c r="NLY88" s="123"/>
      <c r="NLZ88" s="123"/>
      <c r="NMA88" s="123"/>
      <c r="NMB88" s="123"/>
      <c r="NMC88" s="123"/>
      <c r="NMD88" s="123"/>
      <c r="NME88" s="123"/>
      <c r="NMF88" s="123"/>
      <c r="NMG88" s="123"/>
      <c r="NMH88" s="123"/>
      <c r="NMI88" s="123"/>
      <c r="NMJ88" s="123"/>
      <c r="NMK88" s="123"/>
      <c r="NML88" s="123"/>
      <c r="NMM88" s="123"/>
      <c r="NMN88" s="123"/>
      <c r="NMO88" s="123"/>
      <c r="NMP88" s="123"/>
      <c r="NMQ88" s="123"/>
      <c r="NMR88" s="123"/>
      <c r="NMS88" s="123"/>
      <c r="NMT88" s="123"/>
      <c r="NMU88" s="123"/>
      <c r="NMV88" s="123"/>
      <c r="NMW88" s="123"/>
      <c r="NMX88" s="123"/>
      <c r="NMY88" s="123"/>
      <c r="NMZ88" s="123"/>
      <c r="NNA88" s="123"/>
      <c r="NNB88" s="123"/>
      <c r="NNC88" s="123"/>
      <c r="NND88" s="123"/>
      <c r="NNE88" s="123"/>
      <c r="NNF88" s="123"/>
      <c r="NNG88" s="123"/>
      <c r="NNH88" s="123"/>
      <c r="NNI88" s="123"/>
      <c r="NNJ88" s="123"/>
      <c r="NNK88" s="123"/>
      <c r="NNL88" s="123"/>
      <c r="NNM88" s="123"/>
      <c r="NNN88" s="123"/>
      <c r="NNO88" s="123"/>
      <c r="NNP88" s="123"/>
      <c r="NNQ88" s="123"/>
      <c r="NNR88" s="123"/>
      <c r="NNS88" s="123"/>
      <c r="NNT88" s="123"/>
      <c r="NNU88" s="123"/>
      <c r="NNV88" s="123"/>
      <c r="NNW88" s="123"/>
      <c r="NNX88" s="123"/>
      <c r="NNY88" s="123"/>
      <c r="NNZ88" s="123"/>
      <c r="NOA88" s="123"/>
      <c r="NOB88" s="123"/>
      <c r="NOC88" s="123"/>
      <c r="NOD88" s="123"/>
      <c r="NOE88" s="123"/>
      <c r="NOF88" s="123"/>
      <c r="NOG88" s="123"/>
      <c r="NOH88" s="123"/>
      <c r="NOI88" s="123"/>
      <c r="NOJ88" s="123"/>
      <c r="NOK88" s="123"/>
      <c r="NOL88" s="123"/>
      <c r="NOM88" s="123"/>
      <c r="NON88" s="123"/>
      <c r="NOO88" s="123"/>
      <c r="NOP88" s="123"/>
      <c r="NOQ88" s="123"/>
      <c r="NOR88" s="123"/>
      <c r="NOS88" s="123"/>
      <c r="NOT88" s="123"/>
      <c r="NOU88" s="123"/>
      <c r="NOV88" s="123"/>
      <c r="NOW88" s="123"/>
      <c r="NOX88" s="123"/>
      <c r="NOY88" s="123"/>
      <c r="NOZ88" s="123"/>
      <c r="NPA88" s="123"/>
      <c r="NPB88" s="123"/>
      <c r="NPC88" s="123"/>
      <c r="NPD88" s="123"/>
      <c r="NPE88" s="123"/>
      <c r="NPF88" s="123"/>
      <c r="NPG88" s="123"/>
      <c r="NPH88" s="123"/>
      <c r="NPI88" s="123"/>
      <c r="NPJ88" s="123"/>
      <c r="NPK88" s="123"/>
      <c r="NPL88" s="123"/>
      <c r="NPM88" s="123"/>
      <c r="NPN88" s="123"/>
      <c r="NPO88" s="123"/>
      <c r="NPP88" s="123"/>
      <c r="NPQ88" s="123"/>
      <c r="NPR88" s="123"/>
      <c r="NPS88" s="123"/>
      <c r="NPT88" s="123"/>
      <c r="NPU88" s="123"/>
      <c r="NPV88" s="123"/>
      <c r="NPW88" s="123"/>
      <c r="NPX88" s="123"/>
      <c r="NPY88" s="123"/>
      <c r="NPZ88" s="123"/>
      <c r="NQA88" s="123"/>
      <c r="NQB88" s="123"/>
      <c r="NQC88" s="123"/>
      <c r="NQD88" s="123"/>
      <c r="NQE88" s="123"/>
      <c r="NQF88" s="123"/>
      <c r="NQG88" s="123"/>
      <c r="NQH88" s="123"/>
      <c r="NQI88" s="123"/>
      <c r="NQJ88" s="123"/>
      <c r="NQK88" s="123"/>
      <c r="NQL88" s="123"/>
      <c r="NQM88" s="123"/>
      <c r="NQN88" s="123"/>
      <c r="NQO88" s="123"/>
      <c r="NQP88" s="123"/>
      <c r="NQQ88" s="123"/>
      <c r="NQR88" s="123"/>
      <c r="NQS88" s="123"/>
      <c r="NQT88" s="123"/>
      <c r="NQU88" s="123"/>
      <c r="NQV88" s="123"/>
      <c r="NQW88" s="123"/>
      <c r="NQX88" s="123"/>
      <c r="NQY88" s="123"/>
      <c r="NQZ88" s="123"/>
      <c r="NRA88" s="123"/>
      <c r="NRB88" s="123"/>
      <c r="NRC88" s="123"/>
      <c r="NRD88" s="123"/>
      <c r="NRE88" s="123"/>
      <c r="NRF88" s="123"/>
      <c r="NRG88" s="123"/>
      <c r="NRH88" s="123"/>
      <c r="NRI88" s="123"/>
      <c r="NRJ88" s="123"/>
      <c r="NRK88" s="123"/>
      <c r="NRL88" s="123"/>
      <c r="NRM88" s="123"/>
      <c r="NRN88" s="123"/>
      <c r="NRO88" s="123"/>
      <c r="NRP88" s="123"/>
      <c r="NRQ88" s="123"/>
      <c r="NRR88" s="123"/>
      <c r="NRS88" s="123"/>
      <c r="NRT88" s="123"/>
      <c r="NRU88" s="123"/>
      <c r="NRV88" s="123"/>
      <c r="NRW88" s="123"/>
      <c r="NRX88" s="123"/>
      <c r="NRY88" s="123"/>
      <c r="NRZ88" s="123"/>
      <c r="NSA88" s="123"/>
      <c r="NSB88" s="123"/>
      <c r="NSC88" s="123"/>
      <c r="NSD88" s="123"/>
      <c r="NSE88" s="123"/>
      <c r="NSF88" s="123"/>
      <c r="NSG88" s="123"/>
      <c r="NSH88" s="123"/>
      <c r="NSI88" s="123"/>
      <c r="NSJ88" s="123"/>
      <c r="NSK88" s="123"/>
      <c r="NSL88" s="123"/>
      <c r="NSM88" s="123"/>
      <c r="NSN88" s="123"/>
      <c r="NSO88" s="123"/>
      <c r="NSP88" s="123"/>
      <c r="NSQ88" s="123"/>
      <c r="NSR88" s="123"/>
      <c r="NSS88" s="123"/>
      <c r="NST88" s="123"/>
      <c r="NSU88" s="123"/>
      <c r="NSV88" s="123"/>
      <c r="NSW88" s="123"/>
      <c r="NSX88" s="123"/>
      <c r="NSY88" s="123"/>
      <c r="NSZ88" s="123"/>
      <c r="NTA88" s="123"/>
      <c r="NTB88" s="123"/>
      <c r="NTC88" s="123"/>
      <c r="NTD88" s="123"/>
      <c r="NTE88" s="123"/>
      <c r="NTF88" s="123"/>
      <c r="NTG88" s="123"/>
      <c r="NTH88" s="123"/>
      <c r="NTI88" s="123"/>
      <c r="NTJ88" s="123"/>
      <c r="NTK88" s="123"/>
      <c r="NTL88" s="123"/>
      <c r="NTM88" s="123"/>
      <c r="NTN88" s="123"/>
      <c r="NTO88" s="123"/>
      <c r="NTP88" s="123"/>
      <c r="NTQ88" s="123"/>
      <c r="NTR88" s="123"/>
      <c r="NTS88" s="123"/>
      <c r="NTT88" s="123"/>
      <c r="NTU88" s="123"/>
      <c r="NTV88" s="123"/>
      <c r="NTW88" s="123"/>
      <c r="NTX88" s="123"/>
      <c r="NTY88" s="123"/>
      <c r="NTZ88" s="123"/>
      <c r="NUA88" s="123"/>
      <c r="NUB88" s="123"/>
      <c r="NUC88" s="123"/>
      <c r="NUD88" s="123"/>
      <c r="NUE88" s="123"/>
      <c r="NUF88" s="123"/>
      <c r="NUG88" s="123"/>
      <c r="NUH88" s="123"/>
      <c r="NUI88" s="123"/>
      <c r="NUJ88" s="123"/>
      <c r="NUK88" s="123"/>
      <c r="NUL88" s="123"/>
      <c r="NUM88" s="123"/>
      <c r="NUN88" s="123"/>
      <c r="NUO88" s="123"/>
      <c r="NUP88" s="123"/>
      <c r="NUQ88" s="123"/>
      <c r="NUR88" s="123"/>
      <c r="NUS88" s="123"/>
      <c r="NUT88" s="123"/>
      <c r="NUU88" s="123"/>
      <c r="NUV88" s="123"/>
      <c r="NUW88" s="123"/>
      <c r="NUX88" s="123"/>
      <c r="NUY88" s="123"/>
      <c r="NUZ88" s="123"/>
      <c r="NVA88" s="123"/>
      <c r="NVB88" s="123"/>
      <c r="NVC88" s="123"/>
      <c r="NVD88" s="123"/>
      <c r="NVE88" s="123"/>
      <c r="NVF88" s="123"/>
      <c r="NVG88" s="123"/>
      <c r="NVH88" s="123"/>
      <c r="NVI88" s="123"/>
      <c r="NVJ88" s="123"/>
      <c r="NVK88" s="123"/>
      <c r="NVL88" s="123"/>
      <c r="NVM88" s="123"/>
      <c r="NVN88" s="123"/>
      <c r="NVO88" s="123"/>
      <c r="NVP88" s="123"/>
      <c r="NVQ88" s="123"/>
      <c r="NVR88" s="123"/>
      <c r="NVS88" s="123"/>
      <c r="NVT88" s="123"/>
      <c r="NVU88" s="123"/>
      <c r="NVV88" s="123"/>
      <c r="NVW88" s="123"/>
      <c r="NVX88" s="123"/>
      <c r="NVY88" s="123"/>
      <c r="NVZ88" s="123"/>
      <c r="NWA88" s="123"/>
      <c r="NWB88" s="123"/>
      <c r="NWC88" s="123"/>
      <c r="NWD88" s="123"/>
      <c r="NWE88" s="123"/>
      <c r="NWF88" s="123"/>
      <c r="NWG88" s="123"/>
      <c r="NWH88" s="123"/>
      <c r="NWI88" s="123"/>
      <c r="NWJ88" s="123"/>
      <c r="NWK88" s="123"/>
      <c r="NWL88" s="123"/>
      <c r="NWM88" s="123"/>
      <c r="NWN88" s="123"/>
      <c r="NWO88" s="123"/>
      <c r="NWP88" s="123"/>
      <c r="NWQ88" s="123"/>
      <c r="NWR88" s="123"/>
      <c r="NWS88" s="123"/>
      <c r="NWT88" s="123"/>
      <c r="NWU88" s="123"/>
      <c r="NWV88" s="123"/>
      <c r="NWW88" s="123"/>
      <c r="NWX88" s="123"/>
      <c r="NWY88" s="123"/>
      <c r="NWZ88" s="123"/>
      <c r="NXA88" s="123"/>
      <c r="NXB88" s="123"/>
      <c r="NXC88" s="123"/>
      <c r="NXD88" s="123"/>
      <c r="NXE88" s="123"/>
      <c r="NXF88" s="123"/>
      <c r="NXG88" s="123"/>
      <c r="NXH88" s="123"/>
      <c r="NXI88" s="123"/>
      <c r="NXJ88" s="123"/>
      <c r="NXK88" s="123"/>
      <c r="NXL88" s="123"/>
      <c r="NXM88" s="123"/>
      <c r="NXN88" s="123"/>
      <c r="NXO88" s="123"/>
      <c r="NXP88" s="123"/>
      <c r="NXQ88" s="123"/>
      <c r="NXR88" s="123"/>
      <c r="NXS88" s="123"/>
      <c r="NXT88" s="123"/>
      <c r="NXU88" s="123"/>
      <c r="NXV88" s="123"/>
      <c r="NXW88" s="123"/>
      <c r="NXX88" s="123"/>
      <c r="NXY88" s="123"/>
      <c r="NXZ88" s="123"/>
      <c r="NYA88" s="123"/>
      <c r="NYB88" s="123"/>
      <c r="NYC88" s="123"/>
      <c r="NYD88" s="123"/>
      <c r="NYE88" s="123"/>
      <c r="NYF88" s="123"/>
      <c r="NYG88" s="123"/>
      <c r="NYH88" s="123"/>
      <c r="NYI88" s="123"/>
      <c r="NYJ88" s="123"/>
      <c r="NYK88" s="123"/>
      <c r="NYL88" s="123"/>
      <c r="NYM88" s="123"/>
      <c r="NYN88" s="123"/>
      <c r="NYO88" s="123"/>
      <c r="NYP88" s="123"/>
      <c r="NYQ88" s="123"/>
      <c r="NYR88" s="123"/>
      <c r="NYS88" s="123"/>
      <c r="NYT88" s="123"/>
      <c r="NYU88" s="123"/>
      <c r="NYV88" s="123"/>
      <c r="NYW88" s="123"/>
      <c r="NYX88" s="123"/>
      <c r="NYY88" s="123"/>
      <c r="NYZ88" s="123"/>
      <c r="NZA88" s="123"/>
      <c r="NZB88" s="123"/>
      <c r="NZC88" s="123"/>
      <c r="NZD88" s="123"/>
      <c r="NZE88" s="123"/>
      <c r="NZF88" s="123"/>
      <c r="NZG88" s="123"/>
      <c r="NZH88" s="123"/>
      <c r="NZI88" s="123"/>
      <c r="NZJ88" s="123"/>
      <c r="NZK88" s="123"/>
      <c r="NZL88" s="123"/>
      <c r="NZM88" s="123"/>
      <c r="NZN88" s="123"/>
      <c r="NZO88" s="123"/>
      <c r="NZP88" s="123"/>
      <c r="NZQ88" s="123"/>
      <c r="NZR88" s="123"/>
      <c r="NZS88" s="123"/>
      <c r="NZT88" s="123"/>
      <c r="NZU88" s="123"/>
      <c r="NZV88" s="123"/>
      <c r="NZW88" s="123"/>
      <c r="NZX88" s="123"/>
      <c r="NZY88" s="123"/>
      <c r="NZZ88" s="123"/>
      <c r="OAA88" s="123"/>
      <c r="OAB88" s="123"/>
      <c r="OAC88" s="123"/>
      <c r="OAD88" s="123"/>
      <c r="OAE88" s="123"/>
      <c r="OAF88" s="123"/>
      <c r="OAG88" s="123"/>
      <c r="OAH88" s="123"/>
      <c r="OAI88" s="123"/>
      <c r="OAJ88" s="123"/>
      <c r="OAK88" s="123"/>
      <c r="OAL88" s="123"/>
      <c r="OAM88" s="123"/>
      <c r="OAN88" s="123"/>
      <c r="OAO88" s="123"/>
      <c r="OAP88" s="123"/>
      <c r="OAQ88" s="123"/>
      <c r="OAR88" s="123"/>
      <c r="OAS88" s="123"/>
      <c r="OAT88" s="123"/>
      <c r="OAU88" s="123"/>
      <c r="OAV88" s="123"/>
      <c r="OAW88" s="123"/>
      <c r="OAX88" s="123"/>
      <c r="OAY88" s="123"/>
      <c r="OAZ88" s="123"/>
      <c r="OBA88" s="123"/>
      <c r="OBB88" s="123"/>
      <c r="OBC88" s="123"/>
      <c r="OBD88" s="123"/>
      <c r="OBE88" s="123"/>
      <c r="OBF88" s="123"/>
      <c r="OBG88" s="123"/>
      <c r="OBH88" s="123"/>
      <c r="OBI88" s="123"/>
      <c r="OBJ88" s="123"/>
      <c r="OBK88" s="123"/>
      <c r="OBL88" s="123"/>
      <c r="OBM88" s="123"/>
      <c r="OBN88" s="123"/>
      <c r="OBO88" s="123"/>
      <c r="OBP88" s="123"/>
      <c r="OBQ88" s="123"/>
      <c r="OBR88" s="123"/>
      <c r="OBS88" s="123"/>
      <c r="OBT88" s="123"/>
      <c r="OBU88" s="123"/>
      <c r="OBV88" s="123"/>
      <c r="OBW88" s="123"/>
      <c r="OBX88" s="123"/>
      <c r="OBY88" s="123"/>
      <c r="OBZ88" s="123"/>
      <c r="OCA88" s="123"/>
      <c r="OCB88" s="123"/>
      <c r="OCC88" s="123"/>
      <c r="OCD88" s="123"/>
      <c r="OCE88" s="123"/>
      <c r="OCF88" s="123"/>
      <c r="OCG88" s="123"/>
      <c r="OCH88" s="123"/>
      <c r="OCI88" s="123"/>
      <c r="OCJ88" s="123"/>
      <c r="OCK88" s="123"/>
      <c r="OCL88" s="123"/>
      <c r="OCM88" s="123"/>
      <c r="OCN88" s="123"/>
      <c r="OCO88" s="123"/>
      <c r="OCP88" s="123"/>
      <c r="OCQ88" s="123"/>
      <c r="OCR88" s="123"/>
      <c r="OCS88" s="123"/>
      <c r="OCT88" s="123"/>
      <c r="OCU88" s="123"/>
      <c r="OCV88" s="123"/>
      <c r="OCW88" s="123"/>
      <c r="OCX88" s="123"/>
      <c r="OCY88" s="123"/>
      <c r="OCZ88" s="123"/>
      <c r="ODA88" s="123"/>
      <c r="ODB88" s="123"/>
      <c r="ODC88" s="123"/>
      <c r="ODD88" s="123"/>
      <c r="ODE88" s="123"/>
      <c r="ODF88" s="123"/>
      <c r="ODG88" s="123"/>
      <c r="ODH88" s="123"/>
      <c r="ODI88" s="123"/>
      <c r="ODJ88" s="123"/>
      <c r="ODK88" s="123"/>
      <c r="ODL88" s="123"/>
      <c r="ODM88" s="123"/>
      <c r="ODN88" s="123"/>
      <c r="ODO88" s="123"/>
      <c r="ODP88" s="123"/>
      <c r="ODQ88" s="123"/>
      <c r="ODR88" s="123"/>
      <c r="ODS88" s="123"/>
      <c r="ODT88" s="123"/>
      <c r="ODU88" s="123"/>
      <c r="ODV88" s="123"/>
      <c r="ODW88" s="123"/>
      <c r="ODX88" s="123"/>
      <c r="ODY88" s="123"/>
      <c r="ODZ88" s="123"/>
      <c r="OEA88" s="123"/>
      <c r="OEB88" s="123"/>
      <c r="OEC88" s="123"/>
      <c r="OED88" s="123"/>
      <c r="OEE88" s="123"/>
      <c r="OEF88" s="123"/>
      <c r="OEG88" s="123"/>
      <c r="OEH88" s="123"/>
      <c r="OEI88" s="123"/>
      <c r="OEJ88" s="123"/>
      <c r="OEK88" s="123"/>
      <c r="OEL88" s="123"/>
      <c r="OEM88" s="123"/>
      <c r="OEN88" s="123"/>
      <c r="OEO88" s="123"/>
      <c r="OEP88" s="123"/>
      <c r="OEQ88" s="123"/>
      <c r="OER88" s="123"/>
      <c r="OES88" s="123"/>
      <c r="OET88" s="123"/>
      <c r="OEU88" s="123"/>
      <c r="OEV88" s="123"/>
      <c r="OEW88" s="123"/>
      <c r="OEX88" s="123"/>
      <c r="OEY88" s="123"/>
      <c r="OEZ88" s="123"/>
      <c r="OFA88" s="123"/>
      <c r="OFB88" s="123"/>
      <c r="OFC88" s="123"/>
      <c r="OFD88" s="123"/>
      <c r="OFE88" s="123"/>
      <c r="OFF88" s="123"/>
      <c r="OFG88" s="123"/>
      <c r="OFH88" s="123"/>
      <c r="OFI88" s="123"/>
      <c r="OFJ88" s="123"/>
      <c r="OFK88" s="123"/>
      <c r="OFL88" s="123"/>
      <c r="OFM88" s="123"/>
      <c r="OFN88" s="123"/>
      <c r="OFO88" s="123"/>
      <c r="OFP88" s="123"/>
      <c r="OFQ88" s="123"/>
      <c r="OFR88" s="123"/>
      <c r="OFS88" s="123"/>
      <c r="OFT88" s="123"/>
      <c r="OFU88" s="123"/>
      <c r="OFV88" s="123"/>
      <c r="OFW88" s="123"/>
      <c r="OFX88" s="123"/>
      <c r="OFY88" s="123"/>
      <c r="OFZ88" s="123"/>
      <c r="OGA88" s="123"/>
      <c r="OGB88" s="123"/>
      <c r="OGC88" s="123"/>
      <c r="OGD88" s="123"/>
      <c r="OGE88" s="123"/>
      <c r="OGF88" s="123"/>
      <c r="OGG88" s="123"/>
      <c r="OGH88" s="123"/>
      <c r="OGI88" s="123"/>
      <c r="OGJ88" s="123"/>
      <c r="OGK88" s="123"/>
      <c r="OGL88" s="123"/>
      <c r="OGM88" s="123"/>
      <c r="OGN88" s="123"/>
      <c r="OGO88" s="123"/>
      <c r="OGP88" s="123"/>
      <c r="OGQ88" s="123"/>
      <c r="OGR88" s="123"/>
      <c r="OGS88" s="123"/>
      <c r="OGT88" s="123"/>
      <c r="OGU88" s="123"/>
      <c r="OGV88" s="123"/>
      <c r="OGW88" s="123"/>
      <c r="OGX88" s="123"/>
      <c r="OGY88" s="123"/>
      <c r="OGZ88" s="123"/>
      <c r="OHA88" s="123"/>
      <c r="OHB88" s="123"/>
      <c r="OHC88" s="123"/>
      <c r="OHD88" s="123"/>
      <c r="OHE88" s="123"/>
      <c r="OHF88" s="123"/>
      <c r="OHG88" s="123"/>
      <c r="OHH88" s="123"/>
      <c r="OHI88" s="123"/>
      <c r="OHJ88" s="123"/>
      <c r="OHK88" s="123"/>
      <c r="OHL88" s="123"/>
      <c r="OHM88" s="123"/>
      <c r="OHN88" s="123"/>
      <c r="OHO88" s="123"/>
      <c r="OHP88" s="123"/>
      <c r="OHQ88" s="123"/>
      <c r="OHR88" s="123"/>
      <c r="OHS88" s="123"/>
      <c r="OHT88" s="123"/>
      <c r="OHU88" s="123"/>
      <c r="OHV88" s="123"/>
      <c r="OHW88" s="123"/>
      <c r="OHX88" s="123"/>
      <c r="OHY88" s="123"/>
      <c r="OHZ88" s="123"/>
      <c r="OIA88" s="123"/>
      <c r="OIB88" s="123"/>
      <c r="OIC88" s="123"/>
      <c r="OID88" s="123"/>
      <c r="OIE88" s="123"/>
      <c r="OIF88" s="123"/>
      <c r="OIG88" s="123"/>
      <c r="OIH88" s="123"/>
      <c r="OII88" s="123"/>
      <c r="OIJ88" s="123"/>
      <c r="OIK88" s="123"/>
      <c r="OIL88" s="123"/>
      <c r="OIM88" s="123"/>
      <c r="OIN88" s="123"/>
      <c r="OIO88" s="123"/>
      <c r="OIP88" s="123"/>
      <c r="OIQ88" s="123"/>
      <c r="OIR88" s="123"/>
      <c r="OIS88" s="123"/>
      <c r="OIT88" s="123"/>
      <c r="OIU88" s="123"/>
      <c r="OIV88" s="123"/>
      <c r="OIW88" s="123"/>
      <c r="OIX88" s="123"/>
      <c r="OIY88" s="123"/>
      <c r="OIZ88" s="123"/>
      <c r="OJA88" s="123"/>
      <c r="OJB88" s="123"/>
      <c r="OJC88" s="123"/>
      <c r="OJD88" s="123"/>
      <c r="OJE88" s="123"/>
      <c r="OJF88" s="123"/>
      <c r="OJG88" s="123"/>
      <c r="OJH88" s="123"/>
      <c r="OJI88" s="123"/>
      <c r="OJJ88" s="123"/>
      <c r="OJK88" s="123"/>
      <c r="OJL88" s="123"/>
      <c r="OJM88" s="123"/>
      <c r="OJN88" s="123"/>
      <c r="OJO88" s="123"/>
      <c r="OJP88" s="123"/>
      <c r="OJQ88" s="123"/>
      <c r="OJR88" s="123"/>
      <c r="OJS88" s="123"/>
      <c r="OJT88" s="123"/>
      <c r="OJU88" s="123"/>
      <c r="OJV88" s="123"/>
      <c r="OJW88" s="123"/>
      <c r="OJX88" s="123"/>
      <c r="OJY88" s="123"/>
      <c r="OJZ88" s="123"/>
      <c r="OKA88" s="123"/>
      <c r="OKB88" s="123"/>
      <c r="OKC88" s="123"/>
      <c r="OKD88" s="123"/>
      <c r="OKE88" s="123"/>
      <c r="OKF88" s="123"/>
      <c r="OKG88" s="123"/>
      <c r="OKH88" s="123"/>
      <c r="OKI88" s="123"/>
      <c r="OKJ88" s="123"/>
      <c r="OKK88" s="123"/>
      <c r="OKL88" s="123"/>
      <c r="OKM88" s="123"/>
      <c r="OKN88" s="123"/>
      <c r="OKO88" s="123"/>
      <c r="OKP88" s="123"/>
      <c r="OKQ88" s="123"/>
      <c r="OKR88" s="123"/>
      <c r="OKS88" s="123"/>
      <c r="OKT88" s="123"/>
      <c r="OKU88" s="123"/>
      <c r="OKV88" s="123"/>
      <c r="OKW88" s="123"/>
      <c r="OKX88" s="123"/>
      <c r="OKY88" s="123"/>
      <c r="OKZ88" s="123"/>
      <c r="OLA88" s="123"/>
      <c r="OLB88" s="123"/>
      <c r="OLC88" s="123"/>
      <c r="OLD88" s="123"/>
      <c r="OLE88" s="123"/>
      <c r="OLF88" s="123"/>
      <c r="OLG88" s="123"/>
      <c r="OLH88" s="123"/>
      <c r="OLI88" s="123"/>
      <c r="OLJ88" s="123"/>
      <c r="OLK88" s="123"/>
      <c r="OLL88" s="123"/>
      <c r="OLM88" s="123"/>
      <c r="OLN88" s="123"/>
      <c r="OLO88" s="123"/>
      <c r="OLP88" s="123"/>
      <c r="OLQ88" s="123"/>
      <c r="OLR88" s="123"/>
      <c r="OLS88" s="123"/>
      <c r="OLT88" s="123"/>
      <c r="OLU88" s="123"/>
      <c r="OLV88" s="123"/>
      <c r="OLW88" s="123"/>
      <c r="OLX88" s="123"/>
      <c r="OLY88" s="123"/>
      <c r="OLZ88" s="123"/>
      <c r="OMA88" s="123"/>
      <c r="OMB88" s="123"/>
      <c r="OMC88" s="123"/>
      <c r="OMD88" s="123"/>
      <c r="OME88" s="123"/>
      <c r="OMF88" s="123"/>
      <c r="OMG88" s="123"/>
      <c r="OMH88" s="123"/>
      <c r="OMI88" s="123"/>
      <c r="OMJ88" s="123"/>
      <c r="OMK88" s="123"/>
      <c r="OML88" s="123"/>
      <c r="OMM88" s="123"/>
      <c r="OMN88" s="123"/>
      <c r="OMO88" s="123"/>
      <c r="OMP88" s="123"/>
      <c r="OMQ88" s="123"/>
      <c r="OMR88" s="123"/>
      <c r="OMS88" s="123"/>
      <c r="OMT88" s="123"/>
      <c r="OMU88" s="123"/>
      <c r="OMV88" s="123"/>
      <c r="OMW88" s="123"/>
      <c r="OMX88" s="123"/>
      <c r="OMY88" s="123"/>
      <c r="OMZ88" s="123"/>
      <c r="ONA88" s="123"/>
      <c r="ONB88" s="123"/>
      <c r="ONC88" s="123"/>
      <c r="OND88" s="123"/>
      <c r="ONE88" s="123"/>
      <c r="ONF88" s="123"/>
      <c r="ONG88" s="123"/>
      <c r="ONH88" s="123"/>
      <c r="ONI88" s="123"/>
      <c r="ONJ88" s="123"/>
      <c r="ONK88" s="123"/>
      <c r="ONL88" s="123"/>
      <c r="ONM88" s="123"/>
      <c r="ONN88" s="123"/>
      <c r="ONO88" s="123"/>
      <c r="ONP88" s="123"/>
      <c r="ONQ88" s="123"/>
      <c r="ONR88" s="123"/>
      <c r="ONS88" s="123"/>
      <c r="ONT88" s="123"/>
      <c r="ONU88" s="123"/>
      <c r="ONV88" s="123"/>
      <c r="ONW88" s="123"/>
      <c r="ONX88" s="123"/>
      <c r="ONY88" s="123"/>
      <c r="ONZ88" s="123"/>
      <c r="OOA88" s="123"/>
      <c r="OOB88" s="123"/>
      <c r="OOC88" s="123"/>
      <c r="OOD88" s="123"/>
      <c r="OOE88" s="123"/>
      <c r="OOF88" s="123"/>
      <c r="OOG88" s="123"/>
      <c r="OOH88" s="123"/>
      <c r="OOI88" s="123"/>
      <c r="OOJ88" s="123"/>
      <c r="OOK88" s="123"/>
      <c r="OOL88" s="123"/>
      <c r="OOM88" s="123"/>
      <c r="OON88" s="123"/>
      <c r="OOO88" s="123"/>
      <c r="OOP88" s="123"/>
      <c r="OOQ88" s="123"/>
      <c r="OOR88" s="123"/>
      <c r="OOS88" s="123"/>
      <c r="OOT88" s="123"/>
      <c r="OOU88" s="123"/>
      <c r="OOV88" s="123"/>
      <c r="OOW88" s="123"/>
      <c r="OOX88" s="123"/>
      <c r="OOY88" s="123"/>
      <c r="OOZ88" s="123"/>
      <c r="OPA88" s="123"/>
      <c r="OPB88" s="123"/>
      <c r="OPC88" s="123"/>
      <c r="OPD88" s="123"/>
      <c r="OPE88" s="123"/>
      <c r="OPF88" s="123"/>
      <c r="OPG88" s="123"/>
      <c r="OPH88" s="123"/>
      <c r="OPI88" s="123"/>
      <c r="OPJ88" s="123"/>
      <c r="OPK88" s="123"/>
      <c r="OPL88" s="123"/>
      <c r="OPM88" s="123"/>
      <c r="OPN88" s="123"/>
      <c r="OPO88" s="123"/>
      <c r="OPP88" s="123"/>
      <c r="OPQ88" s="123"/>
      <c r="OPR88" s="123"/>
      <c r="OPS88" s="123"/>
      <c r="OPT88" s="123"/>
      <c r="OPU88" s="123"/>
      <c r="OPV88" s="123"/>
      <c r="OPW88" s="123"/>
      <c r="OPX88" s="123"/>
      <c r="OPY88" s="123"/>
      <c r="OPZ88" s="123"/>
      <c r="OQA88" s="123"/>
      <c r="OQB88" s="123"/>
      <c r="OQC88" s="123"/>
      <c r="OQD88" s="123"/>
      <c r="OQE88" s="123"/>
      <c r="OQF88" s="123"/>
      <c r="OQG88" s="123"/>
      <c r="OQH88" s="123"/>
      <c r="OQI88" s="123"/>
      <c r="OQJ88" s="123"/>
      <c r="OQK88" s="123"/>
      <c r="OQL88" s="123"/>
      <c r="OQM88" s="123"/>
      <c r="OQN88" s="123"/>
      <c r="OQO88" s="123"/>
      <c r="OQP88" s="123"/>
      <c r="OQQ88" s="123"/>
      <c r="OQR88" s="123"/>
      <c r="OQS88" s="123"/>
      <c r="OQT88" s="123"/>
      <c r="OQU88" s="123"/>
      <c r="OQV88" s="123"/>
      <c r="OQW88" s="123"/>
      <c r="OQX88" s="123"/>
      <c r="OQY88" s="123"/>
      <c r="OQZ88" s="123"/>
      <c r="ORA88" s="123"/>
      <c r="ORB88" s="123"/>
      <c r="ORC88" s="123"/>
      <c r="ORD88" s="123"/>
      <c r="ORE88" s="123"/>
      <c r="ORF88" s="123"/>
      <c r="ORG88" s="123"/>
      <c r="ORH88" s="123"/>
      <c r="ORI88" s="123"/>
      <c r="ORJ88" s="123"/>
      <c r="ORK88" s="123"/>
      <c r="ORL88" s="123"/>
      <c r="ORM88" s="123"/>
      <c r="ORN88" s="123"/>
      <c r="ORO88" s="123"/>
      <c r="ORP88" s="123"/>
      <c r="ORQ88" s="123"/>
      <c r="ORR88" s="123"/>
      <c r="ORS88" s="123"/>
      <c r="ORT88" s="123"/>
      <c r="ORU88" s="123"/>
      <c r="ORV88" s="123"/>
      <c r="ORW88" s="123"/>
      <c r="ORX88" s="123"/>
      <c r="ORY88" s="123"/>
      <c r="ORZ88" s="123"/>
      <c r="OSA88" s="123"/>
      <c r="OSB88" s="123"/>
      <c r="OSC88" s="123"/>
      <c r="OSD88" s="123"/>
      <c r="OSE88" s="123"/>
      <c r="OSF88" s="123"/>
      <c r="OSG88" s="123"/>
      <c r="OSH88" s="123"/>
      <c r="OSI88" s="123"/>
      <c r="OSJ88" s="123"/>
      <c r="OSK88" s="123"/>
      <c r="OSL88" s="123"/>
      <c r="OSM88" s="123"/>
      <c r="OSN88" s="123"/>
      <c r="OSO88" s="123"/>
      <c r="OSP88" s="123"/>
      <c r="OSQ88" s="123"/>
      <c r="OSR88" s="123"/>
      <c r="OSS88" s="123"/>
      <c r="OST88" s="123"/>
      <c r="OSU88" s="123"/>
      <c r="OSV88" s="123"/>
      <c r="OSW88" s="123"/>
      <c r="OSX88" s="123"/>
      <c r="OSY88" s="123"/>
      <c r="OSZ88" s="123"/>
      <c r="OTA88" s="123"/>
      <c r="OTB88" s="123"/>
      <c r="OTC88" s="123"/>
      <c r="OTD88" s="123"/>
      <c r="OTE88" s="123"/>
      <c r="OTF88" s="123"/>
      <c r="OTG88" s="123"/>
      <c r="OTH88" s="123"/>
      <c r="OTI88" s="123"/>
      <c r="OTJ88" s="123"/>
      <c r="OTK88" s="123"/>
      <c r="OTL88" s="123"/>
      <c r="OTM88" s="123"/>
      <c r="OTN88" s="123"/>
      <c r="OTO88" s="123"/>
      <c r="OTP88" s="123"/>
      <c r="OTQ88" s="123"/>
      <c r="OTR88" s="123"/>
      <c r="OTS88" s="123"/>
      <c r="OTT88" s="123"/>
      <c r="OTU88" s="123"/>
      <c r="OTV88" s="123"/>
      <c r="OTW88" s="123"/>
      <c r="OTX88" s="123"/>
      <c r="OTY88" s="123"/>
      <c r="OTZ88" s="123"/>
      <c r="OUA88" s="123"/>
      <c r="OUB88" s="123"/>
      <c r="OUC88" s="123"/>
      <c r="OUD88" s="123"/>
      <c r="OUE88" s="123"/>
      <c r="OUF88" s="123"/>
      <c r="OUG88" s="123"/>
      <c r="OUH88" s="123"/>
      <c r="OUI88" s="123"/>
      <c r="OUJ88" s="123"/>
      <c r="OUK88" s="123"/>
      <c r="OUL88" s="123"/>
      <c r="OUM88" s="123"/>
      <c r="OUN88" s="123"/>
      <c r="OUO88" s="123"/>
      <c r="OUP88" s="123"/>
      <c r="OUQ88" s="123"/>
      <c r="OUR88" s="123"/>
      <c r="OUS88" s="123"/>
      <c r="OUT88" s="123"/>
      <c r="OUU88" s="123"/>
      <c r="OUV88" s="123"/>
      <c r="OUW88" s="123"/>
      <c r="OUX88" s="123"/>
      <c r="OUY88" s="123"/>
      <c r="OUZ88" s="123"/>
      <c r="OVA88" s="123"/>
      <c r="OVB88" s="123"/>
      <c r="OVC88" s="123"/>
      <c r="OVD88" s="123"/>
      <c r="OVE88" s="123"/>
      <c r="OVF88" s="123"/>
      <c r="OVG88" s="123"/>
      <c r="OVH88" s="123"/>
      <c r="OVI88" s="123"/>
      <c r="OVJ88" s="123"/>
      <c r="OVK88" s="123"/>
      <c r="OVL88" s="123"/>
      <c r="OVM88" s="123"/>
      <c r="OVN88" s="123"/>
      <c r="OVO88" s="123"/>
      <c r="OVP88" s="123"/>
      <c r="OVQ88" s="123"/>
      <c r="OVR88" s="123"/>
      <c r="OVS88" s="123"/>
      <c r="OVT88" s="123"/>
      <c r="OVU88" s="123"/>
      <c r="OVV88" s="123"/>
      <c r="OVW88" s="123"/>
      <c r="OVX88" s="123"/>
      <c r="OVY88" s="123"/>
      <c r="OVZ88" s="123"/>
      <c r="OWA88" s="123"/>
      <c r="OWB88" s="123"/>
      <c r="OWC88" s="123"/>
      <c r="OWD88" s="123"/>
      <c r="OWE88" s="123"/>
      <c r="OWF88" s="123"/>
      <c r="OWG88" s="123"/>
      <c r="OWH88" s="123"/>
      <c r="OWI88" s="123"/>
      <c r="OWJ88" s="123"/>
      <c r="OWK88" s="123"/>
      <c r="OWL88" s="123"/>
      <c r="OWM88" s="123"/>
      <c r="OWN88" s="123"/>
      <c r="OWO88" s="123"/>
      <c r="OWP88" s="123"/>
      <c r="OWQ88" s="123"/>
      <c r="OWR88" s="123"/>
      <c r="OWS88" s="123"/>
      <c r="OWT88" s="123"/>
      <c r="OWU88" s="123"/>
      <c r="OWV88" s="123"/>
      <c r="OWW88" s="123"/>
      <c r="OWX88" s="123"/>
      <c r="OWY88" s="123"/>
      <c r="OWZ88" s="123"/>
      <c r="OXA88" s="123"/>
      <c r="OXB88" s="123"/>
      <c r="OXC88" s="123"/>
      <c r="OXD88" s="123"/>
      <c r="OXE88" s="123"/>
      <c r="OXF88" s="123"/>
      <c r="OXG88" s="123"/>
      <c r="OXH88" s="123"/>
      <c r="OXI88" s="123"/>
      <c r="OXJ88" s="123"/>
      <c r="OXK88" s="123"/>
      <c r="OXL88" s="123"/>
      <c r="OXM88" s="123"/>
      <c r="OXN88" s="123"/>
      <c r="OXO88" s="123"/>
      <c r="OXP88" s="123"/>
      <c r="OXQ88" s="123"/>
      <c r="OXR88" s="123"/>
      <c r="OXS88" s="123"/>
      <c r="OXT88" s="123"/>
      <c r="OXU88" s="123"/>
      <c r="OXV88" s="123"/>
      <c r="OXW88" s="123"/>
      <c r="OXX88" s="123"/>
      <c r="OXY88" s="123"/>
      <c r="OXZ88" s="123"/>
      <c r="OYA88" s="123"/>
      <c r="OYB88" s="123"/>
      <c r="OYC88" s="123"/>
      <c r="OYD88" s="123"/>
      <c r="OYE88" s="123"/>
      <c r="OYF88" s="123"/>
      <c r="OYG88" s="123"/>
      <c r="OYH88" s="123"/>
      <c r="OYI88" s="123"/>
      <c r="OYJ88" s="123"/>
      <c r="OYK88" s="123"/>
      <c r="OYL88" s="123"/>
      <c r="OYM88" s="123"/>
      <c r="OYN88" s="123"/>
      <c r="OYO88" s="123"/>
      <c r="OYP88" s="123"/>
      <c r="OYQ88" s="123"/>
      <c r="OYR88" s="123"/>
      <c r="OYS88" s="123"/>
      <c r="OYT88" s="123"/>
      <c r="OYU88" s="123"/>
      <c r="OYV88" s="123"/>
      <c r="OYW88" s="123"/>
      <c r="OYX88" s="123"/>
      <c r="OYY88" s="123"/>
      <c r="OYZ88" s="123"/>
      <c r="OZA88" s="123"/>
      <c r="OZB88" s="123"/>
      <c r="OZC88" s="123"/>
      <c r="OZD88" s="123"/>
      <c r="OZE88" s="123"/>
      <c r="OZF88" s="123"/>
      <c r="OZG88" s="123"/>
      <c r="OZH88" s="123"/>
      <c r="OZI88" s="123"/>
      <c r="OZJ88" s="123"/>
      <c r="OZK88" s="123"/>
      <c r="OZL88" s="123"/>
      <c r="OZM88" s="123"/>
      <c r="OZN88" s="123"/>
      <c r="OZO88" s="123"/>
      <c r="OZP88" s="123"/>
      <c r="OZQ88" s="123"/>
      <c r="OZR88" s="123"/>
      <c r="OZS88" s="123"/>
      <c r="OZT88" s="123"/>
      <c r="OZU88" s="123"/>
      <c r="OZV88" s="123"/>
      <c r="OZW88" s="123"/>
      <c r="OZX88" s="123"/>
      <c r="OZY88" s="123"/>
      <c r="OZZ88" s="123"/>
      <c r="PAA88" s="123"/>
      <c r="PAB88" s="123"/>
      <c r="PAC88" s="123"/>
      <c r="PAD88" s="123"/>
      <c r="PAE88" s="123"/>
      <c r="PAF88" s="123"/>
      <c r="PAG88" s="123"/>
      <c r="PAH88" s="123"/>
      <c r="PAI88" s="123"/>
      <c r="PAJ88" s="123"/>
      <c r="PAK88" s="123"/>
      <c r="PAL88" s="123"/>
      <c r="PAM88" s="123"/>
      <c r="PAN88" s="123"/>
      <c r="PAO88" s="123"/>
      <c r="PAP88" s="123"/>
      <c r="PAQ88" s="123"/>
      <c r="PAR88" s="123"/>
      <c r="PAS88" s="123"/>
      <c r="PAT88" s="123"/>
      <c r="PAU88" s="123"/>
      <c r="PAV88" s="123"/>
      <c r="PAW88" s="123"/>
      <c r="PAX88" s="123"/>
      <c r="PAY88" s="123"/>
      <c r="PAZ88" s="123"/>
      <c r="PBA88" s="123"/>
      <c r="PBB88" s="123"/>
      <c r="PBC88" s="123"/>
      <c r="PBD88" s="123"/>
      <c r="PBE88" s="123"/>
      <c r="PBF88" s="123"/>
      <c r="PBG88" s="123"/>
      <c r="PBH88" s="123"/>
      <c r="PBI88" s="123"/>
      <c r="PBJ88" s="123"/>
      <c r="PBK88" s="123"/>
      <c r="PBL88" s="123"/>
      <c r="PBM88" s="123"/>
      <c r="PBN88" s="123"/>
      <c r="PBO88" s="123"/>
      <c r="PBP88" s="123"/>
      <c r="PBQ88" s="123"/>
      <c r="PBR88" s="123"/>
      <c r="PBS88" s="123"/>
      <c r="PBT88" s="123"/>
      <c r="PBU88" s="123"/>
      <c r="PBV88" s="123"/>
      <c r="PBW88" s="123"/>
      <c r="PBX88" s="123"/>
      <c r="PBY88" s="123"/>
      <c r="PBZ88" s="123"/>
      <c r="PCA88" s="123"/>
      <c r="PCB88" s="123"/>
      <c r="PCC88" s="123"/>
      <c r="PCD88" s="123"/>
      <c r="PCE88" s="123"/>
      <c r="PCF88" s="123"/>
      <c r="PCG88" s="123"/>
      <c r="PCH88" s="123"/>
      <c r="PCI88" s="123"/>
      <c r="PCJ88" s="123"/>
      <c r="PCK88" s="123"/>
      <c r="PCL88" s="123"/>
      <c r="PCM88" s="123"/>
      <c r="PCN88" s="123"/>
      <c r="PCO88" s="123"/>
      <c r="PCP88" s="123"/>
      <c r="PCQ88" s="123"/>
      <c r="PCR88" s="123"/>
      <c r="PCS88" s="123"/>
      <c r="PCT88" s="123"/>
      <c r="PCU88" s="123"/>
      <c r="PCV88" s="123"/>
      <c r="PCW88" s="123"/>
      <c r="PCX88" s="123"/>
      <c r="PCY88" s="123"/>
      <c r="PCZ88" s="123"/>
      <c r="PDA88" s="123"/>
      <c r="PDB88" s="123"/>
      <c r="PDC88" s="123"/>
      <c r="PDD88" s="123"/>
      <c r="PDE88" s="123"/>
      <c r="PDF88" s="123"/>
      <c r="PDG88" s="123"/>
      <c r="PDH88" s="123"/>
      <c r="PDI88" s="123"/>
      <c r="PDJ88" s="123"/>
      <c r="PDK88" s="123"/>
      <c r="PDL88" s="123"/>
      <c r="PDM88" s="123"/>
      <c r="PDN88" s="123"/>
      <c r="PDO88" s="123"/>
      <c r="PDP88" s="123"/>
      <c r="PDQ88" s="123"/>
      <c r="PDR88" s="123"/>
      <c r="PDS88" s="123"/>
      <c r="PDT88" s="123"/>
      <c r="PDU88" s="123"/>
      <c r="PDV88" s="123"/>
      <c r="PDW88" s="123"/>
      <c r="PDX88" s="123"/>
      <c r="PDY88" s="123"/>
      <c r="PDZ88" s="123"/>
      <c r="PEA88" s="123"/>
      <c r="PEB88" s="123"/>
      <c r="PEC88" s="123"/>
      <c r="PED88" s="123"/>
      <c r="PEE88" s="123"/>
      <c r="PEF88" s="123"/>
      <c r="PEG88" s="123"/>
      <c r="PEH88" s="123"/>
      <c r="PEI88" s="123"/>
      <c r="PEJ88" s="123"/>
      <c r="PEK88" s="123"/>
      <c r="PEL88" s="123"/>
      <c r="PEM88" s="123"/>
      <c r="PEN88" s="123"/>
      <c r="PEO88" s="123"/>
      <c r="PEP88" s="123"/>
      <c r="PEQ88" s="123"/>
      <c r="PER88" s="123"/>
      <c r="PES88" s="123"/>
      <c r="PET88" s="123"/>
      <c r="PEU88" s="123"/>
      <c r="PEV88" s="123"/>
      <c r="PEW88" s="123"/>
      <c r="PEX88" s="123"/>
      <c r="PEY88" s="123"/>
      <c r="PEZ88" s="123"/>
      <c r="PFA88" s="123"/>
      <c r="PFB88" s="123"/>
      <c r="PFC88" s="123"/>
      <c r="PFD88" s="123"/>
      <c r="PFE88" s="123"/>
      <c r="PFF88" s="123"/>
      <c r="PFG88" s="123"/>
      <c r="PFH88" s="123"/>
      <c r="PFI88" s="123"/>
      <c r="PFJ88" s="123"/>
      <c r="PFK88" s="123"/>
      <c r="PFL88" s="123"/>
      <c r="PFM88" s="123"/>
      <c r="PFN88" s="123"/>
      <c r="PFO88" s="123"/>
      <c r="PFP88" s="123"/>
      <c r="PFQ88" s="123"/>
      <c r="PFR88" s="123"/>
      <c r="PFS88" s="123"/>
      <c r="PFT88" s="123"/>
      <c r="PFU88" s="123"/>
      <c r="PFV88" s="123"/>
      <c r="PFW88" s="123"/>
      <c r="PFX88" s="123"/>
      <c r="PFY88" s="123"/>
      <c r="PFZ88" s="123"/>
      <c r="PGA88" s="123"/>
      <c r="PGB88" s="123"/>
      <c r="PGC88" s="123"/>
      <c r="PGD88" s="123"/>
      <c r="PGE88" s="123"/>
      <c r="PGF88" s="123"/>
      <c r="PGG88" s="123"/>
      <c r="PGH88" s="123"/>
      <c r="PGI88" s="123"/>
      <c r="PGJ88" s="123"/>
      <c r="PGK88" s="123"/>
      <c r="PGL88" s="123"/>
      <c r="PGM88" s="123"/>
      <c r="PGN88" s="123"/>
      <c r="PGO88" s="123"/>
      <c r="PGP88" s="123"/>
      <c r="PGQ88" s="123"/>
      <c r="PGR88" s="123"/>
      <c r="PGS88" s="123"/>
      <c r="PGT88" s="123"/>
      <c r="PGU88" s="123"/>
      <c r="PGV88" s="123"/>
      <c r="PGW88" s="123"/>
      <c r="PGX88" s="123"/>
      <c r="PGY88" s="123"/>
      <c r="PGZ88" s="123"/>
      <c r="PHA88" s="123"/>
      <c r="PHB88" s="123"/>
      <c r="PHC88" s="123"/>
      <c r="PHD88" s="123"/>
      <c r="PHE88" s="123"/>
      <c r="PHF88" s="123"/>
      <c r="PHG88" s="123"/>
      <c r="PHH88" s="123"/>
      <c r="PHI88" s="123"/>
      <c r="PHJ88" s="123"/>
      <c r="PHK88" s="123"/>
      <c r="PHL88" s="123"/>
      <c r="PHM88" s="123"/>
      <c r="PHN88" s="123"/>
      <c r="PHO88" s="123"/>
      <c r="PHP88" s="123"/>
      <c r="PHQ88" s="123"/>
      <c r="PHR88" s="123"/>
      <c r="PHS88" s="123"/>
      <c r="PHT88" s="123"/>
      <c r="PHU88" s="123"/>
      <c r="PHV88" s="123"/>
      <c r="PHW88" s="123"/>
      <c r="PHX88" s="123"/>
      <c r="PHY88" s="123"/>
      <c r="PHZ88" s="123"/>
      <c r="PIA88" s="123"/>
      <c r="PIB88" s="123"/>
      <c r="PIC88" s="123"/>
      <c r="PID88" s="123"/>
      <c r="PIE88" s="123"/>
      <c r="PIF88" s="123"/>
      <c r="PIG88" s="123"/>
      <c r="PIH88" s="123"/>
      <c r="PII88" s="123"/>
      <c r="PIJ88" s="123"/>
      <c r="PIK88" s="123"/>
      <c r="PIL88" s="123"/>
      <c r="PIM88" s="123"/>
      <c r="PIN88" s="123"/>
      <c r="PIO88" s="123"/>
      <c r="PIP88" s="123"/>
      <c r="PIQ88" s="123"/>
      <c r="PIR88" s="123"/>
      <c r="PIS88" s="123"/>
      <c r="PIT88" s="123"/>
      <c r="PIU88" s="123"/>
      <c r="PIV88" s="123"/>
      <c r="PIW88" s="123"/>
      <c r="PIX88" s="123"/>
      <c r="PIY88" s="123"/>
      <c r="PIZ88" s="123"/>
      <c r="PJA88" s="123"/>
      <c r="PJB88" s="123"/>
      <c r="PJC88" s="123"/>
      <c r="PJD88" s="123"/>
      <c r="PJE88" s="123"/>
      <c r="PJF88" s="123"/>
      <c r="PJG88" s="123"/>
      <c r="PJH88" s="123"/>
      <c r="PJI88" s="123"/>
      <c r="PJJ88" s="123"/>
      <c r="PJK88" s="123"/>
      <c r="PJL88" s="123"/>
      <c r="PJM88" s="123"/>
      <c r="PJN88" s="123"/>
      <c r="PJO88" s="123"/>
      <c r="PJP88" s="123"/>
      <c r="PJQ88" s="123"/>
      <c r="PJR88" s="123"/>
      <c r="PJS88" s="123"/>
      <c r="PJT88" s="123"/>
      <c r="PJU88" s="123"/>
      <c r="PJV88" s="123"/>
      <c r="PJW88" s="123"/>
      <c r="PJX88" s="123"/>
      <c r="PJY88" s="123"/>
      <c r="PJZ88" s="123"/>
      <c r="PKA88" s="123"/>
      <c r="PKB88" s="123"/>
      <c r="PKC88" s="123"/>
      <c r="PKD88" s="123"/>
      <c r="PKE88" s="123"/>
      <c r="PKF88" s="123"/>
      <c r="PKG88" s="123"/>
      <c r="PKH88" s="123"/>
      <c r="PKI88" s="123"/>
      <c r="PKJ88" s="123"/>
      <c r="PKK88" s="123"/>
      <c r="PKL88" s="123"/>
      <c r="PKM88" s="123"/>
      <c r="PKN88" s="123"/>
      <c r="PKO88" s="123"/>
      <c r="PKP88" s="123"/>
      <c r="PKQ88" s="123"/>
      <c r="PKR88" s="123"/>
      <c r="PKS88" s="123"/>
      <c r="PKT88" s="123"/>
      <c r="PKU88" s="123"/>
      <c r="PKV88" s="123"/>
      <c r="PKW88" s="123"/>
      <c r="PKX88" s="123"/>
      <c r="PKY88" s="123"/>
      <c r="PKZ88" s="123"/>
      <c r="PLA88" s="123"/>
      <c r="PLB88" s="123"/>
      <c r="PLC88" s="123"/>
      <c r="PLD88" s="123"/>
      <c r="PLE88" s="123"/>
      <c r="PLF88" s="123"/>
      <c r="PLG88" s="123"/>
      <c r="PLH88" s="123"/>
      <c r="PLI88" s="123"/>
      <c r="PLJ88" s="123"/>
      <c r="PLK88" s="123"/>
      <c r="PLL88" s="123"/>
      <c r="PLM88" s="123"/>
      <c r="PLN88" s="123"/>
      <c r="PLO88" s="123"/>
      <c r="PLP88" s="123"/>
      <c r="PLQ88" s="123"/>
      <c r="PLR88" s="123"/>
      <c r="PLS88" s="123"/>
      <c r="PLT88" s="123"/>
      <c r="PLU88" s="123"/>
      <c r="PLV88" s="123"/>
      <c r="PLW88" s="123"/>
      <c r="PLX88" s="123"/>
      <c r="PLY88" s="123"/>
      <c r="PLZ88" s="123"/>
      <c r="PMA88" s="123"/>
      <c r="PMB88" s="123"/>
      <c r="PMC88" s="123"/>
      <c r="PMD88" s="123"/>
      <c r="PME88" s="123"/>
      <c r="PMF88" s="123"/>
      <c r="PMG88" s="123"/>
      <c r="PMH88" s="123"/>
      <c r="PMI88" s="123"/>
      <c r="PMJ88" s="123"/>
      <c r="PMK88" s="123"/>
      <c r="PML88" s="123"/>
      <c r="PMM88" s="123"/>
      <c r="PMN88" s="123"/>
      <c r="PMO88" s="123"/>
      <c r="PMP88" s="123"/>
      <c r="PMQ88" s="123"/>
      <c r="PMR88" s="123"/>
      <c r="PMS88" s="123"/>
      <c r="PMT88" s="123"/>
      <c r="PMU88" s="123"/>
      <c r="PMV88" s="123"/>
      <c r="PMW88" s="123"/>
      <c r="PMX88" s="123"/>
      <c r="PMY88" s="123"/>
      <c r="PMZ88" s="123"/>
      <c r="PNA88" s="123"/>
      <c r="PNB88" s="123"/>
      <c r="PNC88" s="123"/>
      <c r="PND88" s="123"/>
      <c r="PNE88" s="123"/>
      <c r="PNF88" s="123"/>
      <c r="PNG88" s="123"/>
      <c r="PNH88" s="123"/>
      <c r="PNI88" s="123"/>
      <c r="PNJ88" s="123"/>
      <c r="PNK88" s="123"/>
      <c r="PNL88" s="123"/>
      <c r="PNM88" s="123"/>
      <c r="PNN88" s="123"/>
      <c r="PNO88" s="123"/>
      <c r="PNP88" s="123"/>
      <c r="PNQ88" s="123"/>
      <c r="PNR88" s="123"/>
      <c r="PNS88" s="123"/>
      <c r="PNT88" s="123"/>
      <c r="PNU88" s="123"/>
      <c r="PNV88" s="123"/>
      <c r="PNW88" s="123"/>
      <c r="PNX88" s="123"/>
      <c r="PNY88" s="123"/>
      <c r="PNZ88" s="123"/>
      <c r="POA88" s="123"/>
      <c r="POB88" s="123"/>
      <c r="POC88" s="123"/>
      <c r="POD88" s="123"/>
      <c r="POE88" s="123"/>
      <c r="POF88" s="123"/>
      <c r="POG88" s="123"/>
      <c r="POH88" s="123"/>
      <c r="POI88" s="123"/>
      <c r="POJ88" s="123"/>
      <c r="POK88" s="123"/>
      <c r="POL88" s="123"/>
      <c r="POM88" s="123"/>
      <c r="PON88" s="123"/>
      <c r="POO88" s="123"/>
      <c r="POP88" s="123"/>
      <c r="POQ88" s="123"/>
      <c r="POR88" s="123"/>
      <c r="POS88" s="123"/>
      <c r="POT88" s="123"/>
      <c r="POU88" s="123"/>
      <c r="POV88" s="123"/>
      <c r="POW88" s="123"/>
      <c r="POX88" s="123"/>
      <c r="POY88" s="123"/>
      <c r="POZ88" s="123"/>
      <c r="PPA88" s="123"/>
      <c r="PPB88" s="123"/>
      <c r="PPC88" s="123"/>
      <c r="PPD88" s="123"/>
      <c r="PPE88" s="123"/>
      <c r="PPF88" s="123"/>
      <c r="PPG88" s="123"/>
      <c r="PPH88" s="123"/>
      <c r="PPI88" s="123"/>
      <c r="PPJ88" s="123"/>
      <c r="PPK88" s="123"/>
      <c r="PPL88" s="123"/>
      <c r="PPM88" s="123"/>
      <c r="PPN88" s="123"/>
      <c r="PPO88" s="123"/>
      <c r="PPP88" s="123"/>
      <c r="PPQ88" s="123"/>
      <c r="PPR88" s="123"/>
      <c r="PPS88" s="123"/>
      <c r="PPT88" s="123"/>
      <c r="PPU88" s="123"/>
      <c r="PPV88" s="123"/>
      <c r="PPW88" s="123"/>
      <c r="PPX88" s="123"/>
      <c r="PPY88" s="123"/>
      <c r="PPZ88" s="123"/>
      <c r="PQA88" s="123"/>
      <c r="PQB88" s="123"/>
      <c r="PQC88" s="123"/>
      <c r="PQD88" s="123"/>
      <c r="PQE88" s="123"/>
      <c r="PQF88" s="123"/>
      <c r="PQG88" s="123"/>
      <c r="PQH88" s="123"/>
      <c r="PQI88" s="123"/>
      <c r="PQJ88" s="123"/>
      <c r="PQK88" s="123"/>
      <c r="PQL88" s="123"/>
      <c r="PQM88" s="123"/>
      <c r="PQN88" s="123"/>
      <c r="PQO88" s="123"/>
      <c r="PQP88" s="123"/>
      <c r="PQQ88" s="123"/>
      <c r="PQR88" s="123"/>
      <c r="PQS88" s="123"/>
      <c r="PQT88" s="123"/>
      <c r="PQU88" s="123"/>
      <c r="PQV88" s="123"/>
      <c r="PQW88" s="123"/>
      <c r="PQX88" s="123"/>
      <c r="PQY88" s="123"/>
      <c r="PQZ88" s="123"/>
      <c r="PRA88" s="123"/>
      <c r="PRB88" s="123"/>
      <c r="PRC88" s="123"/>
      <c r="PRD88" s="123"/>
      <c r="PRE88" s="123"/>
      <c r="PRF88" s="123"/>
      <c r="PRG88" s="123"/>
      <c r="PRH88" s="123"/>
      <c r="PRI88" s="123"/>
      <c r="PRJ88" s="123"/>
      <c r="PRK88" s="123"/>
      <c r="PRL88" s="123"/>
      <c r="PRM88" s="123"/>
      <c r="PRN88" s="123"/>
      <c r="PRO88" s="123"/>
      <c r="PRP88" s="123"/>
      <c r="PRQ88" s="123"/>
      <c r="PRR88" s="123"/>
      <c r="PRS88" s="123"/>
      <c r="PRT88" s="123"/>
      <c r="PRU88" s="123"/>
      <c r="PRV88" s="123"/>
      <c r="PRW88" s="123"/>
      <c r="PRX88" s="123"/>
      <c r="PRY88" s="123"/>
      <c r="PRZ88" s="123"/>
      <c r="PSA88" s="123"/>
      <c r="PSB88" s="123"/>
      <c r="PSC88" s="123"/>
      <c r="PSD88" s="123"/>
      <c r="PSE88" s="123"/>
      <c r="PSF88" s="123"/>
      <c r="PSG88" s="123"/>
      <c r="PSH88" s="123"/>
      <c r="PSI88" s="123"/>
      <c r="PSJ88" s="123"/>
      <c r="PSK88" s="123"/>
      <c r="PSL88" s="123"/>
      <c r="PSM88" s="123"/>
      <c r="PSN88" s="123"/>
      <c r="PSO88" s="123"/>
      <c r="PSP88" s="123"/>
      <c r="PSQ88" s="123"/>
      <c r="PSR88" s="123"/>
      <c r="PSS88" s="123"/>
      <c r="PST88" s="123"/>
      <c r="PSU88" s="123"/>
      <c r="PSV88" s="123"/>
      <c r="PSW88" s="123"/>
      <c r="PSX88" s="123"/>
      <c r="PSY88" s="123"/>
      <c r="PSZ88" s="123"/>
      <c r="PTA88" s="123"/>
      <c r="PTB88" s="123"/>
      <c r="PTC88" s="123"/>
      <c r="PTD88" s="123"/>
      <c r="PTE88" s="123"/>
      <c r="PTF88" s="123"/>
      <c r="PTG88" s="123"/>
      <c r="PTH88" s="123"/>
      <c r="PTI88" s="123"/>
      <c r="PTJ88" s="123"/>
      <c r="PTK88" s="123"/>
      <c r="PTL88" s="123"/>
      <c r="PTM88" s="123"/>
      <c r="PTN88" s="123"/>
      <c r="PTO88" s="123"/>
      <c r="PTP88" s="123"/>
      <c r="PTQ88" s="123"/>
      <c r="PTR88" s="123"/>
      <c r="PTS88" s="123"/>
      <c r="PTT88" s="123"/>
      <c r="PTU88" s="123"/>
      <c r="PTV88" s="123"/>
      <c r="PTW88" s="123"/>
      <c r="PTX88" s="123"/>
      <c r="PTY88" s="123"/>
      <c r="PTZ88" s="123"/>
      <c r="PUA88" s="123"/>
      <c r="PUB88" s="123"/>
      <c r="PUC88" s="123"/>
      <c r="PUD88" s="123"/>
      <c r="PUE88" s="123"/>
      <c r="PUF88" s="123"/>
      <c r="PUG88" s="123"/>
      <c r="PUH88" s="123"/>
      <c r="PUI88" s="123"/>
      <c r="PUJ88" s="123"/>
      <c r="PUK88" s="123"/>
      <c r="PUL88" s="123"/>
      <c r="PUM88" s="123"/>
      <c r="PUN88" s="123"/>
      <c r="PUO88" s="123"/>
      <c r="PUP88" s="123"/>
      <c r="PUQ88" s="123"/>
      <c r="PUR88" s="123"/>
      <c r="PUS88" s="123"/>
      <c r="PUT88" s="123"/>
      <c r="PUU88" s="123"/>
      <c r="PUV88" s="123"/>
      <c r="PUW88" s="123"/>
      <c r="PUX88" s="123"/>
      <c r="PUY88" s="123"/>
      <c r="PUZ88" s="123"/>
      <c r="PVA88" s="123"/>
      <c r="PVB88" s="123"/>
      <c r="PVC88" s="123"/>
      <c r="PVD88" s="123"/>
      <c r="PVE88" s="123"/>
      <c r="PVF88" s="123"/>
      <c r="PVG88" s="123"/>
      <c r="PVH88" s="123"/>
      <c r="PVI88" s="123"/>
      <c r="PVJ88" s="123"/>
      <c r="PVK88" s="123"/>
      <c r="PVL88" s="123"/>
      <c r="PVM88" s="123"/>
      <c r="PVN88" s="123"/>
      <c r="PVO88" s="123"/>
      <c r="PVP88" s="123"/>
      <c r="PVQ88" s="123"/>
      <c r="PVR88" s="123"/>
      <c r="PVS88" s="123"/>
      <c r="PVT88" s="123"/>
      <c r="PVU88" s="123"/>
      <c r="PVV88" s="123"/>
      <c r="PVW88" s="123"/>
      <c r="PVX88" s="123"/>
      <c r="PVY88" s="123"/>
      <c r="PVZ88" s="123"/>
      <c r="PWA88" s="123"/>
      <c r="PWB88" s="123"/>
      <c r="PWC88" s="123"/>
      <c r="PWD88" s="123"/>
      <c r="PWE88" s="123"/>
      <c r="PWF88" s="123"/>
      <c r="PWG88" s="123"/>
      <c r="PWH88" s="123"/>
      <c r="PWI88" s="123"/>
      <c r="PWJ88" s="123"/>
      <c r="PWK88" s="123"/>
      <c r="PWL88" s="123"/>
      <c r="PWM88" s="123"/>
      <c r="PWN88" s="123"/>
      <c r="PWO88" s="123"/>
      <c r="PWP88" s="123"/>
      <c r="PWQ88" s="123"/>
      <c r="PWR88" s="123"/>
      <c r="PWS88" s="123"/>
      <c r="PWT88" s="123"/>
      <c r="PWU88" s="123"/>
      <c r="PWV88" s="123"/>
      <c r="PWW88" s="123"/>
      <c r="PWX88" s="123"/>
      <c r="PWY88" s="123"/>
      <c r="PWZ88" s="123"/>
      <c r="PXA88" s="123"/>
      <c r="PXB88" s="123"/>
      <c r="PXC88" s="123"/>
      <c r="PXD88" s="123"/>
      <c r="PXE88" s="123"/>
      <c r="PXF88" s="123"/>
      <c r="PXG88" s="123"/>
      <c r="PXH88" s="123"/>
      <c r="PXI88" s="123"/>
      <c r="PXJ88" s="123"/>
      <c r="PXK88" s="123"/>
      <c r="PXL88" s="123"/>
      <c r="PXM88" s="123"/>
      <c r="PXN88" s="123"/>
      <c r="PXO88" s="123"/>
      <c r="PXP88" s="123"/>
      <c r="PXQ88" s="123"/>
      <c r="PXR88" s="123"/>
      <c r="PXS88" s="123"/>
      <c r="PXT88" s="123"/>
      <c r="PXU88" s="123"/>
      <c r="PXV88" s="123"/>
      <c r="PXW88" s="123"/>
      <c r="PXX88" s="123"/>
      <c r="PXY88" s="123"/>
      <c r="PXZ88" s="123"/>
      <c r="PYA88" s="123"/>
      <c r="PYB88" s="123"/>
      <c r="PYC88" s="123"/>
      <c r="PYD88" s="123"/>
      <c r="PYE88" s="123"/>
      <c r="PYF88" s="123"/>
      <c r="PYG88" s="123"/>
      <c r="PYH88" s="123"/>
      <c r="PYI88" s="123"/>
      <c r="PYJ88" s="123"/>
      <c r="PYK88" s="123"/>
      <c r="PYL88" s="123"/>
      <c r="PYM88" s="123"/>
      <c r="PYN88" s="123"/>
      <c r="PYO88" s="123"/>
      <c r="PYP88" s="123"/>
      <c r="PYQ88" s="123"/>
      <c r="PYR88" s="123"/>
      <c r="PYS88" s="123"/>
      <c r="PYT88" s="123"/>
      <c r="PYU88" s="123"/>
      <c r="PYV88" s="123"/>
      <c r="PYW88" s="123"/>
      <c r="PYX88" s="123"/>
      <c r="PYY88" s="123"/>
      <c r="PYZ88" s="123"/>
      <c r="PZA88" s="123"/>
      <c r="PZB88" s="123"/>
      <c r="PZC88" s="123"/>
      <c r="PZD88" s="123"/>
      <c r="PZE88" s="123"/>
      <c r="PZF88" s="123"/>
      <c r="PZG88" s="123"/>
      <c r="PZH88" s="123"/>
      <c r="PZI88" s="123"/>
      <c r="PZJ88" s="123"/>
      <c r="PZK88" s="123"/>
      <c r="PZL88" s="123"/>
      <c r="PZM88" s="123"/>
      <c r="PZN88" s="123"/>
      <c r="PZO88" s="123"/>
      <c r="PZP88" s="123"/>
      <c r="PZQ88" s="123"/>
      <c r="PZR88" s="123"/>
      <c r="PZS88" s="123"/>
      <c r="PZT88" s="123"/>
      <c r="PZU88" s="123"/>
      <c r="PZV88" s="123"/>
      <c r="PZW88" s="123"/>
      <c r="PZX88" s="123"/>
      <c r="PZY88" s="123"/>
      <c r="PZZ88" s="123"/>
      <c r="QAA88" s="123"/>
      <c r="QAB88" s="123"/>
      <c r="QAC88" s="123"/>
      <c r="QAD88" s="123"/>
      <c r="QAE88" s="123"/>
      <c r="QAF88" s="123"/>
      <c r="QAG88" s="123"/>
      <c r="QAH88" s="123"/>
      <c r="QAI88" s="123"/>
      <c r="QAJ88" s="123"/>
      <c r="QAK88" s="123"/>
      <c r="QAL88" s="123"/>
      <c r="QAM88" s="123"/>
      <c r="QAN88" s="123"/>
      <c r="QAO88" s="123"/>
      <c r="QAP88" s="123"/>
      <c r="QAQ88" s="123"/>
      <c r="QAR88" s="123"/>
      <c r="QAS88" s="123"/>
      <c r="QAT88" s="123"/>
      <c r="QAU88" s="123"/>
      <c r="QAV88" s="123"/>
      <c r="QAW88" s="123"/>
      <c r="QAX88" s="123"/>
      <c r="QAY88" s="123"/>
      <c r="QAZ88" s="123"/>
      <c r="QBA88" s="123"/>
      <c r="QBB88" s="123"/>
      <c r="QBC88" s="123"/>
      <c r="QBD88" s="123"/>
      <c r="QBE88" s="123"/>
      <c r="QBF88" s="123"/>
      <c r="QBG88" s="123"/>
      <c r="QBH88" s="123"/>
      <c r="QBI88" s="123"/>
      <c r="QBJ88" s="123"/>
      <c r="QBK88" s="123"/>
      <c r="QBL88" s="123"/>
      <c r="QBM88" s="123"/>
      <c r="QBN88" s="123"/>
      <c r="QBO88" s="123"/>
      <c r="QBP88" s="123"/>
      <c r="QBQ88" s="123"/>
      <c r="QBR88" s="123"/>
      <c r="QBS88" s="123"/>
      <c r="QBT88" s="123"/>
      <c r="QBU88" s="123"/>
      <c r="QBV88" s="123"/>
      <c r="QBW88" s="123"/>
      <c r="QBX88" s="123"/>
      <c r="QBY88" s="123"/>
      <c r="QBZ88" s="123"/>
      <c r="QCA88" s="123"/>
      <c r="QCB88" s="123"/>
      <c r="QCC88" s="123"/>
      <c r="QCD88" s="123"/>
      <c r="QCE88" s="123"/>
      <c r="QCF88" s="123"/>
      <c r="QCG88" s="123"/>
      <c r="QCH88" s="123"/>
      <c r="QCI88" s="123"/>
      <c r="QCJ88" s="123"/>
      <c r="QCK88" s="123"/>
      <c r="QCL88" s="123"/>
      <c r="QCM88" s="123"/>
      <c r="QCN88" s="123"/>
      <c r="QCO88" s="123"/>
      <c r="QCP88" s="123"/>
      <c r="QCQ88" s="123"/>
      <c r="QCR88" s="123"/>
      <c r="QCS88" s="123"/>
      <c r="QCT88" s="123"/>
      <c r="QCU88" s="123"/>
      <c r="QCV88" s="123"/>
      <c r="QCW88" s="123"/>
      <c r="QCX88" s="123"/>
      <c r="QCY88" s="123"/>
      <c r="QCZ88" s="123"/>
      <c r="QDA88" s="123"/>
      <c r="QDB88" s="123"/>
      <c r="QDC88" s="123"/>
      <c r="QDD88" s="123"/>
      <c r="QDE88" s="123"/>
      <c r="QDF88" s="123"/>
      <c r="QDG88" s="123"/>
      <c r="QDH88" s="123"/>
      <c r="QDI88" s="123"/>
      <c r="QDJ88" s="123"/>
      <c r="QDK88" s="123"/>
      <c r="QDL88" s="123"/>
      <c r="QDM88" s="123"/>
      <c r="QDN88" s="123"/>
      <c r="QDO88" s="123"/>
      <c r="QDP88" s="123"/>
      <c r="QDQ88" s="123"/>
      <c r="QDR88" s="123"/>
      <c r="QDS88" s="123"/>
      <c r="QDT88" s="123"/>
      <c r="QDU88" s="123"/>
      <c r="QDV88" s="123"/>
      <c r="QDW88" s="123"/>
      <c r="QDX88" s="123"/>
      <c r="QDY88" s="123"/>
      <c r="QDZ88" s="123"/>
      <c r="QEA88" s="123"/>
      <c r="QEB88" s="123"/>
      <c r="QEC88" s="123"/>
      <c r="QED88" s="123"/>
      <c r="QEE88" s="123"/>
      <c r="QEF88" s="123"/>
      <c r="QEG88" s="123"/>
      <c r="QEH88" s="123"/>
      <c r="QEI88" s="123"/>
      <c r="QEJ88" s="123"/>
      <c r="QEK88" s="123"/>
      <c r="QEL88" s="123"/>
      <c r="QEM88" s="123"/>
      <c r="QEN88" s="123"/>
      <c r="QEO88" s="123"/>
      <c r="QEP88" s="123"/>
      <c r="QEQ88" s="123"/>
      <c r="QER88" s="123"/>
      <c r="QES88" s="123"/>
      <c r="QET88" s="123"/>
      <c r="QEU88" s="123"/>
      <c r="QEV88" s="123"/>
      <c r="QEW88" s="123"/>
      <c r="QEX88" s="123"/>
      <c r="QEY88" s="123"/>
      <c r="QEZ88" s="123"/>
      <c r="QFA88" s="123"/>
      <c r="QFB88" s="123"/>
      <c r="QFC88" s="123"/>
      <c r="QFD88" s="123"/>
      <c r="QFE88" s="123"/>
      <c r="QFF88" s="123"/>
      <c r="QFG88" s="123"/>
      <c r="QFH88" s="123"/>
      <c r="QFI88" s="123"/>
      <c r="QFJ88" s="123"/>
      <c r="QFK88" s="123"/>
      <c r="QFL88" s="123"/>
      <c r="QFM88" s="123"/>
      <c r="QFN88" s="123"/>
      <c r="QFO88" s="123"/>
      <c r="QFP88" s="123"/>
      <c r="QFQ88" s="123"/>
      <c r="QFR88" s="123"/>
      <c r="QFS88" s="123"/>
      <c r="QFT88" s="123"/>
      <c r="QFU88" s="123"/>
      <c r="QFV88" s="123"/>
      <c r="QFW88" s="123"/>
      <c r="QFX88" s="123"/>
      <c r="QFY88" s="123"/>
      <c r="QFZ88" s="123"/>
      <c r="QGA88" s="123"/>
      <c r="QGB88" s="123"/>
      <c r="QGC88" s="123"/>
      <c r="QGD88" s="123"/>
      <c r="QGE88" s="123"/>
      <c r="QGF88" s="123"/>
      <c r="QGG88" s="123"/>
      <c r="QGH88" s="123"/>
      <c r="QGI88" s="123"/>
      <c r="QGJ88" s="123"/>
      <c r="QGK88" s="123"/>
      <c r="QGL88" s="123"/>
      <c r="QGM88" s="123"/>
      <c r="QGN88" s="123"/>
      <c r="QGO88" s="123"/>
      <c r="QGP88" s="123"/>
      <c r="QGQ88" s="123"/>
      <c r="QGR88" s="123"/>
      <c r="QGS88" s="123"/>
      <c r="QGT88" s="123"/>
      <c r="QGU88" s="123"/>
      <c r="QGV88" s="123"/>
      <c r="QGW88" s="123"/>
      <c r="QGX88" s="123"/>
      <c r="QGY88" s="123"/>
      <c r="QGZ88" s="123"/>
      <c r="QHA88" s="123"/>
      <c r="QHB88" s="123"/>
      <c r="QHC88" s="123"/>
      <c r="QHD88" s="123"/>
      <c r="QHE88" s="123"/>
      <c r="QHF88" s="123"/>
      <c r="QHG88" s="123"/>
      <c r="QHH88" s="123"/>
      <c r="QHI88" s="123"/>
      <c r="QHJ88" s="123"/>
      <c r="QHK88" s="123"/>
      <c r="QHL88" s="123"/>
      <c r="QHM88" s="123"/>
      <c r="QHN88" s="123"/>
      <c r="QHO88" s="123"/>
      <c r="QHP88" s="123"/>
      <c r="QHQ88" s="123"/>
      <c r="QHR88" s="123"/>
      <c r="QHS88" s="123"/>
      <c r="QHT88" s="123"/>
      <c r="QHU88" s="123"/>
      <c r="QHV88" s="123"/>
      <c r="QHW88" s="123"/>
      <c r="QHX88" s="123"/>
      <c r="QHY88" s="123"/>
      <c r="QHZ88" s="123"/>
      <c r="QIA88" s="123"/>
      <c r="QIB88" s="123"/>
      <c r="QIC88" s="123"/>
      <c r="QID88" s="123"/>
      <c r="QIE88" s="123"/>
      <c r="QIF88" s="123"/>
      <c r="QIG88" s="123"/>
      <c r="QIH88" s="123"/>
      <c r="QII88" s="123"/>
      <c r="QIJ88" s="123"/>
      <c r="QIK88" s="123"/>
      <c r="QIL88" s="123"/>
      <c r="QIM88" s="123"/>
      <c r="QIN88" s="123"/>
      <c r="QIO88" s="123"/>
      <c r="QIP88" s="123"/>
      <c r="QIQ88" s="123"/>
      <c r="QIR88" s="123"/>
      <c r="QIS88" s="123"/>
      <c r="QIT88" s="123"/>
      <c r="QIU88" s="123"/>
      <c r="QIV88" s="123"/>
      <c r="QIW88" s="123"/>
      <c r="QIX88" s="123"/>
      <c r="QIY88" s="123"/>
      <c r="QIZ88" s="123"/>
      <c r="QJA88" s="123"/>
      <c r="QJB88" s="123"/>
      <c r="QJC88" s="123"/>
      <c r="QJD88" s="123"/>
      <c r="QJE88" s="123"/>
      <c r="QJF88" s="123"/>
      <c r="QJG88" s="123"/>
      <c r="QJH88" s="123"/>
      <c r="QJI88" s="123"/>
      <c r="QJJ88" s="123"/>
      <c r="QJK88" s="123"/>
      <c r="QJL88" s="123"/>
      <c r="QJM88" s="123"/>
      <c r="QJN88" s="123"/>
      <c r="QJO88" s="123"/>
      <c r="QJP88" s="123"/>
      <c r="QJQ88" s="123"/>
      <c r="QJR88" s="123"/>
      <c r="QJS88" s="123"/>
      <c r="QJT88" s="123"/>
      <c r="QJU88" s="123"/>
      <c r="QJV88" s="123"/>
      <c r="QJW88" s="123"/>
      <c r="QJX88" s="123"/>
      <c r="QJY88" s="123"/>
      <c r="QJZ88" s="123"/>
      <c r="QKA88" s="123"/>
      <c r="QKB88" s="123"/>
      <c r="QKC88" s="123"/>
      <c r="QKD88" s="123"/>
      <c r="QKE88" s="123"/>
      <c r="QKF88" s="123"/>
      <c r="QKG88" s="123"/>
      <c r="QKH88" s="123"/>
      <c r="QKI88" s="123"/>
      <c r="QKJ88" s="123"/>
      <c r="QKK88" s="123"/>
      <c r="QKL88" s="123"/>
      <c r="QKM88" s="123"/>
      <c r="QKN88" s="123"/>
      <c r="QKO88" s="123"/>
      <c r="QKP88" s="123"/>
      <c r="QKQ88" s="123"/>
      <c r="QKR88" s="123"/>
      <c r="QKS88" s="123"/>
      <c r="QKT88" s="123"/>
      <c r="QKU88" s="123"/>
      <c r="QKV88" s="123"/>
      <c r="QKW88" s="123"/>
      <c r="QKX88" s="123"/>
      <c r="QKY88" s="123"/>
      <c r="QKZ88" s="123"/>
      <c r="QLA88" s="123"/>
      <c r="QLB88" s="123"/>
      <c r="QLC88" s="123"/>
      <c r="QLD88" s="123"/>
      <c r="QLE88" s="123"/>
      <c r="QLF88" s="123"/>
      <c r="QLG88" s="123"/>
      <c r="QLH88" s="123"/>
      <c r="QLI88" s="123"/>
      <c r="QLJ88" s="123"/>
      <c r="QLK88" s="123"/>
      <c r="QLL88" s="123"/>
      <c r="QLM88" s="123"/>
      <c r="QLN88" s="123"/>
      <c r="QLO88" s="123"/>
      <c r="QLP88" s="123"/>
      <c r="QLQ88" s="123"/>
      <c r="QLR88" s="123"/>
      <c r="QLS88" s="123"/>
      <c r="QLT88" s="123"/>
      <c r="QLU88" s="123"/>
      <c r="QLV88" s="123"/>
      <c r="QLW88" s="123"/>
      <c r="QLX88" s="123"/>
      <c r="QLY88" s="123"/>
      <c r="QLZ88" s="123"/>
      <c r="QMA88" s="123"/>
      <c r="QMB88" s="123"/>
      <c r="QMC88" s="123"/>
      <c r="QMD88" s="123"/>
      <c r="QME88" s="123"/>
      <c r="QMF88" s="123"/>
      <c r="QMG88" s="123"/>
      <c r="QMH88" s="123"/>
      <c r="QMI88" s="123"/>
      <c r="QMJ88" s="123"/>
      <c r="QMK88" s="123"/>
      <c r="QML88" s="123"/>
      <c r="QMM88" s="123"/>
      <c r="QMN88" s="123"/>
      <c r="QMO88" s="123"/>
      <c r="QMP88" s="123"/>
      <c r="QMQ88" s="123"/>
      <c r="QMR88" s="123"/>
      <c r="QMS88" s="123"/>
      <c r="QMT88" s="123"/>
      <c r="QMU88" s="123"/>
      <c r="QMV88" s="123"/>
      <c r="QMW88" s="123"/>
      <c r="QMX88" s="123"/>
      <c r="QMY88" s="123"/>
      <c r="QMZ88" s="123"/>
      <c r="QNA88" s="123"/>
      <c r="QNB88" s="123"/>
      <c r="QNC88" s="123"/>
      <c r="QND88" s="123"/>
      <c r="QNE88" s="123"/>
      <c r="QNF88" s="123"/>
      <c r="QNG88" s="123"/>
      <c r="QNH88" s="123"/>
      <c r="QNI88" s="123"/>
      <c r="QNJ88" s="123"/>
      <c r="QNK88" s="123"/>
      <c r="QNL88" s="123"/>
      <c r="QNM88" s="123"/>
      <c r="QNN88" s="123"/>
      <c r="QNO88" s="123"/>
      <c r="QNP88" s="123"/>
      <c r="QNQ88" s="123"/>
      <c r="QNR88" s="123"/>
      <c r="QNS88" s="123"/>
      <c r="QNT88" s="123"/>
      <c r="QNU88" s="123"/>
      <c r="QNV88" s="123"/>
      <c r="QNW88" s="123"/>
      <c r="QNX88" s="123"/>
      <c r="QNY88" s="123"/>
      <c r="QNZ88" s="123"/>
      <c r="QOA88" s="123"/>
      <c r="QOB88" s="123"/>
      <c r="QOC88" s="123"/>
      <c r="QOD88" s="123"/>
      <c r="QOE88" s="123"/>
      <c r="QOF88" s="123"/>
      <c r="QOG88" s="123"/>
      <c r="QOH88" s="123"/>
      <c r="QOI88" s="123"/>
      <c r="QOJ88" s="123"/>
      <c r="QOK88" s="123"/>
      <c r="QOL88" s="123"/>
      <c r="QOM88" s="123"/>
      <c r="QON88" s="123"/>
      <c r="QOO88" s="123"/>
      <c r="QOP88" s="123"/>
      <c r="QOQ88" s="123"/>
      <c r="QOR88" s="123"/>
      <c r="QOS88" s="123"/>
      <c r="QOT88" s="123"/>
      <c r="QOU88" s="123"/>
      <c r="QOV88" s="123"/>
      <c r="QOW88" s="123"/>
      <c r="QOX88" s="123"/>
      <c r="QOY88" s="123"/>
      <c r="QOZ88" s="123"/>
      <c r="QPA88" s="123"/>
      <c r="QPB88" s="123"/>
      <c r="QPC88" s="123"/>
      <c r="QPD88" s="123"/>
      <c r="QPE88" s="123"/>
      <c r="QPF88" s="123"/>
      <c r="QPG88" s="123"/>
      <c r="QPH88" s="123"/>
      <c r="QPI88" s="123"/>
      <c r="QPJ88" s="123"/>
      <c r="QPK88" s="123"/>
      <c r="QPL88" s="123"/>
      <c r="QPM88" s="123"/>
      <c r="QPN88" s="123"/>
      <c r="QPO88" s="123"/>
      <c r="QPP88" s="123"/>
      <c r="QPQ88" s="123"/>
      <c r="QPR88" s="123"/>
      <c r="QPS88" s="123"/>
      <c r="QPT88" s="123"/>
      <c r="QPU88" s="123"/>
      <c r="QPV88" s="123"/>
      <c r="QPW88" s="123"/>
      <c r="QPX88" s="123"/>
      <c r="QPY88" s="123"/>
      <c r="QPZ88" s="123"/>
      <c r="QQA88" s="123"/>
      <c r="QQB88" s="123"/>
      <c r="QQC88" s="123"/>
      <c r="QQD88" s="123"/>
      <c r="QQE88" s="123"/>
      <c r="QQF88" s="123"/>
      <c r="QQG88" s="123"/>
      <c r="QQH88" s="123"/>
      <c r="QQI88" s="123"/>
      <c r="QQJ88" s="123"/>
      <c r="QQK88" s="123"/>
      <c r="QQL88" s="123"/>
      <c r="QQM88" s="123"/>
      <c r="QQN88" s="123"/>
      <c r="QQO88" s="123"/>
      <c r="QQP88" s="123"/>
      <c r="QQQ88" s="123"/>
      <c r="QQR88" s="123"/>
      <c r="QQS88" s="123"/>
      <c r="QQT88" s="123"/>
      <c r="QQU88" s="123"/>
      <c r="QQV88" s="123"/>
      <c r="QQW88" s="123"/>
      <c r="QQX88" s="123"/>
      <c r="QQY88" s="123"/>
      <c r="QQZ88" s="123"/>
      <c r="QRA88" s="123"/>
      <c r="QRB88" s="123"/>
      <c r="QRC88" s="123"/>
      <c r="QRD88" s="123"/>
      <c r="QRE88" s="123"/>
      <c r="QRF88" s="123"/>
      <c r="QRG88" s="123"/>
      <c r="QRH88" s="123"/>
      <c r="QRI88" s="123"/>
      <c r="QRJ88" s="123"/>
      <c r="QRK88" s="123"/>
      <c r="QRL88" s="123"/>
      <c r="QRM88" s="123"/>
      <c r="QRN88" s="123"/>
      <c r="QRO88" s="123"/>
      <c r="QRP88" s="123"/>
      <c r="QRQ88" s="123"/>
      <c r="QRR88" s="123"/>
      <c r="QRS88" s="123"/>
      <c r="QRT88" s="123"/>
      <c r="QRU88" s="123"/>
      <c r="QRV88" s="123"/>
      <c r="QRW88" s="123"/>
      <c r="QRX88" s="123"/>
      <c r="QRY88" s="123"/>
      <c r="QRZ88" s="123"/>
      <c r="QSA88" s="123"/>
      <c r="QSB88" s="123"/>
      <c r="QSC88" s="123"/>
      <c r="QSD88" s="123"/>
      <c r="QSE88" s="123"/>
      <c r="QSF88" s="123"/>
      <c r="QSG88" s="123"/>
      <c r="QSH88" s="123"/>
      <c r="QSI88" s="123"/>
      <c r="QSJ88" s="123"/>
      <c r="QSK88" s="123"/>
      <c r="QSL88" s="123"/>
      <c r="QSM88" s="123"/>
      <c r="QSN88" s="123"/>
      <c r="QSO88" s="123"/>
      <c r="QSP88" s="123"/>
      <c r="QSQ88" s="123"/>
      <c r="QSR88" s="123"/>
      <c r="QSS88" s="123"/>
      <c r="QST88" s="123"/>
      <c r="QSU88" s="123"/>
      <c r="QSV88" s="123"/>
      <c r="QSW88" s="123"/>
      <c r="QSX88" s="123"/>
      <c r="QSY88" s="123"/>
      <c r="QSZ88" s="123"/>
      <c r="QTA88" s="123"/>
      <c r="QTB88" s="123"/>
      <c r="QTC88" s="123"/>
      <c r="QTD88" s="123"/>
      <c r="QTE88" s="123"/>
      <c r="QTF88" s="123"/>
      <c r="QTG88" s="123"/>
      <c r="QTH88" s="123"/>
      <c r="QTI88" s="123"/>
      <c r="QTJ88" s="123"/>
      <c r="QTK88" s="123"/>
      <c r="QTL88" s="123"/>
      <c r="QTM88" s="123"/>
      <c r="QTN88" s="123"/>
      <c r="QTO88" s="123"/>
      <c r="QTP88" s="123"/>
      <c r="QTQ88" s="123"/>
      <c r="QTR88" s="123"/>
      <c r="QTS88" s="123"/>
      <c r="QTT88" s="123"/>
      <c r="QTU88" s="123"/>
      <c r="QTV88" s="123"/>
      <c r="QTW88" s="123"/>
      <c r="QTX88" s="123"/>
      <c r="QTY88" s="123"/>
      <c r="QTZ88" s="123"/>
      <c r="QUA88" s="123"/>
      <c r="QUB88" s="123"/>
      <c r="QUC88" s="123"/>
      <c r="QUD88" s="123"/>
      <c r="QUE88" s="123"/>
      <c r="QUF88" s="123"/>
      <c r="QUG88" s="123"/>
      <c r="QUH88" s="123"/>
      <c r="QUI88" s="123"/>
      <c r="QUJ88" s="123"/>
      <c r="QUK88" s="123"/>
      <c r="QUL88" s="123"/>
      <c r="QUM88" s="123"/>
      <c r="QUN88" s="123"/>
      <c r="QUO88" s="123"/>
      <c r="QUP88" s="123"/>
      <c r="QUQ88" s="123"/>
      <c r="QUR88" s="123"/>
      <c r="QUS88" s="123"/>
      <c r="QUT88" s="123"/>
      <c r="QUU88" s="123"/>
      <c r="QUV88" s="123"/>
      <c r="QUW88" s="123"/>
      <c r="QUX88" s="123"/>
      <c r="QUY88" s="123"/>
      <c r="QUZ88" s="123"/>
      <c r="QVA88" s="123"/>
      <c r="QVB88" s="123"/>
      <c r="QVC88" s="123"/>
      <c r="QVD88" s="123"/>
      <c r="QVE88" s="123"/>
      <c r="QVF88" s="123"/>
      <c r="QVG88" s="123"/>
      <c r="QVH88" s="123"/>
      <c r="QVI88" s="123"/>
      <c r="QVJ88" s="123"/>
      <c r="QVK88" s="123"/>
      <c r="QVL88" s="123"/>
      <c r="QVM88" s="123"/>
      <c r="QVN88" s="123"/>
      <c r="QVO88" s="123"/>
      <c r="QVP88" s="123"/>
      <c r="QVQ88" s="123"/>
      <c r="QVR88" s="123"/>
      <c r="QVS88" s="123"/>
      <c r="QVT88" s="123"/>
      <c r="QVU88" s="123"/>
      <c r="QVV88" s="123"/>
      <c r="QVW88" s="123"/>
      <c r="QVX88" s="123"/>
      <c r="QVY88" s="123"/>
      <c r="QVZ88" s="123"/>
      <c r="QWA88" s="123"/>
      <c r="QWB88" s="123"/>
      <c r="QWC88" s="123"/>
      <c r="QWD88" s="123"/>
      <c r="QWE88" s="123"/>
      <c r="QWF88" s="123"/>
      <c r="QWG88" s="123"/>
      <c r="QWH88" s="123"/>
      <c r="QWI88" s="123"/>
      <c r="QWJ88" s="123"/>
      <c r="QWK88" s="123"/>
      <c r="QWL88" s="123"/>
      <c r="QWM88" s="123"/>
      <c r="QWN88" s="123"/>
      <c r="QWO88" s="123"/>
      <c r="QWP88" s="123"/>
      <c r="QWQ88" s="123"/>
      <c r="QWR88" s="123"/>
      <c r="QWS88" s="123"/>
      <c r="QWT88" s="123"/>
      <c r="QWU88" s="123"/>
      <c r="QWV88" s="123"/>
      <c r="QWW88" s="123"/>
      <c r="QWX88" s="123"/>
      <c r="QWY88" s="123"/>
      <c r="QWZ88" s="123"/>
      <c r="QXA88" s="123"/>
      <c r="QXB88" s="123"/>
      <c r="QXC88" s="123"/>
      <c r="QXD88" s="123"/>
      <c r="QXE88" s="123"/>
      <c r="QXF88" s="123"/>
      <c r="QXG88" s="123"/>
      <c r="QXH88" s="123"/>
      <c r="QXI88" s="123"/>
      <c r="QXJ88" s="123"/>
      <c r="QXK88" s="123"/>
      <c r="QXL88" s="123"/>
      <c r="QXM88" s="123"/>
      <c r="QXN88" s="123"/>
      <c r="QXO88" s="123"/>
      <c r="QXP88" s="123"/>
      <c r="QXQ88" s="123"/>
      <c r="QXR88" s="123"/>
      <c r="QXS88" s="123"/>
      <c r="QXT88" s="123"/>
      <c r="QXU88" s="123"/>
      <c r="QXV88" s="123"/>
      <c r="QXW88" s="123"/>
      <c r="QXX88" s="123"/>
      <c r="QXY88" s="123"/>
      <c r="QXZ88" s="123"/>
      <c r="QYA88" s="123"/>
      <c r="QYB88" s="123"/>
      <c r="QYC88" s="123"/>
      <c r="QYD88" s="123"/>
      <c r="QYE88" s="123"/>
      <c r="QYF88" s="123"/>
      <c r="QYG88" s="123"/>
      <c r="QYH88" s="123"/>
      <c r="QYI88" s="123"/>
      <c r="QYJ88" s="123"/>
      <c r="QYK88" s="123"/>
      <c r="QYL88" s="123"/>
      <c r="QYM88" s="123"/>
      <c r="QYN88" s="123"/>
      <c r="QYO88" s="123"/>
      <c r="QYP88" s="123"/>
      <c r="QYQ88" s="123"/>
      <c r="QYR88" s="123"/>
      <c r="QYS88" s="123"/>
      <c r="QYT88" s="123"/>
      <c r="QYU88" s="123"/>
      <c r="QYV88" s="123"/>
      <c r="QYW88" s="123"/>
      <c r="QYX88" s="123"/>
      <c r="QYY88" s="123"/>
      <c r="QYZ88" s="123"/>
      <c r="QZA88" s="123"/>
      <c r="QZB88" s="123"/>
      <c r="QZC88" s="123"/>
      <c r="QZD88" s="123"/>
      <c r="QZE88" s="123"/>
      <c r="QZF88" s="123"/>
      <c r="QZG88" s="123"/>
      <c r="QZH88" s="123"/>
      <c r="QZI88" s="123"/>
      <c r="QZJ88" s="123"/>
      <c r="QZK88" s="123"/>
      <c r="QZL88" s="123"/>
      <c r="QZM88" s="123"/>
      <c r="QZN88" s="123"/>
      <c r="QZO88" s="123"/>
      <c r="QZP88" s="123"/>
      <c r="QZQ88" s="123"/>
      <c r="QZR88" s="123"/>
      <c r="QZS88" s="123"/>
      <c r="QZT88" s="123"/>
      <c r="QZU88" s="123"/>
      <c r="QZV88" s="123"/>
      <c r="QZW88" s="123"/>
      <c r="QZX88" s="123"/>
      <c r="QZY88" s="123"/>
      <c r="QZZ88" s="123"/>
      <c r="RAA88" s="123"/>
      <c r="RAB88" s="123"/>
      <c r="RAC88" s="123"/>
      <c r="RAD88" s="123"/>
      <c r="RAE88" s="123"/>
      <c r="RAF88" s="123"/>
      <c r="RAG88" s="123"/>
      <c r="RAH88" s="123"/>
      <c r="RAI88" s="123"/>
      <c r="RAJ88" s="123"/>
      <c r="RAK88" s="123"/>
      <c r="RAL88" s="123"/>
      <c r="RAM88" s="123"/>
      <c r="RAN88" s="123"/>
      <c r="RAO88" s="123"/>
      <c r="RAP88" s="123"/>
      <c r="RAQ88" s="123"/>
      <c r="RAR88" s="123"/>
      <c r="RAS88" s="123"/>
      <c r="RAT88" s="123"/>
      <c r="RAU88" s="123"/>
      <c r="RAV88" s="123"/>
      <c r="RAW88" s="123"/>
      <c r="RAX88" s="123"/>
      <c r="RAY88" s="123"/>
      <c r="RAZ88" s="123"/>
      <c r="RBA88" s="123"/>
      <c r="RBB88" s="123"/>
      <c r="RBC88" s="123"/>
      <c r="RBD88" s="123"/>
      <c r="RBE88" s="123"/>
      <c r="RBF88" s="123"/>
      <c r="RBG88" s="123"/>
      <c r="RBH88" s="123"/>
      <c r="RBI88" s="123"/>
      <c r="RBJ88" s="123"/>
      <c r="RBK88" s="123"/>
      <c r="RBL88" s="123"/>
      <c r="RBM88" s="123"/>
      <c r="RBN88" s="123"/>
      <c r="RBO88" s="123"/>
      <c r="RBP88" s="123"/>
      <c r="RBQ88" s="123"/>
      <c r="RBR88" s="123"/>
      <c r="RBS88" s="123"/>
      <c r="RBT88" s="123"/>
      <c r="RBU88" s="123"/>
      <c r="RBV88" s="123"/>
      <c r="RBW88" s="123"/>
      <c r="RBX88" s="123"/>
      <c r="RBY88" s="123"/>
      <c r="RBZ88" s="123"/>
      <c r="RCA88" s="123"/>
      <c r="RCB88" s="123"/>
      <c r="RCC88" s="123"/>
      <c r="RCD88" s="123"/>
      <c r="RCE88" s="123"/>
      <c r="RCF88" s="123"/>
      <c r="RCG88" s="123"/>
      <c r="RCH88" s="123"/>
      <c r="RCI88" s="123"/>
      <c r="RCJ88" s="123"/>
      <c r="RCK88" s="123"/>
      <c r="RCL88" s="123"/>
      <c r="RCM88" s="123"/>
      <c r="RCN88" s="123"/>
      <c r="RCO88" s="123"/>
      <c r="RCP88" s="123"/>
      <c r="RCQ88" s="123"/>
      <c r="RCR88" s="123"/>
      <c r="RCS88" s="123"/>
      <c r="RCT88" s="123"/>
      <c r="RCU88" s="123"/>
      <c r="RCV88" s="123"/>
      <c r="RCW88" s="123"/>
      <c r="RCX88" s="123"/>
      <c r="RCY88" s="123"/>
      <c r="RCZ88" s="123"/>
      <c r="RDA88" s="123"/>
      <c r="RDB88" s="123"/>
      <c r="RDC88" s="123"/>
      <c r="RDD88" s="123"/>
      <c r="RDE88" s="123"/>
      <c r="RDF88" s="123"/>
      <c r="RDG88" s="123"/>
      <c r="RDH88" s="123"/>
      <c r="RDI88" s="123"/>
      <c r="RDJ88" s="123"/>
      <c r="RDK88" s="123"/>
      <c r="RDL88" s="123"/>
      <c r="RDM88" s="123"/>
      <c r="RDN88" s="123"/>
      <c r="RDO88" s="123"/>
      <c r="RDP88" s="123"/>
      <c r="RDQ88" s="123"/>
      <c r="RDR88" s="123"/>
      <c r="RDS88" s="123"/>
      <c r="RDT88" s="123"/>
      <c r="RDU88" s="123"/>
      <c r="RDV88" s="123"/>
      <c r="RDW88" s="123"/>
      <c r="RDX88" s="123"/>
      <c r="RDY88" s="123"/>
      <c r="RDZ88" s="123"/>
      <c r="REA88" s="123"/>
      <c r="REB88" s="123"/>
      <c r="REC88" s="123"/>
      <c r="RED88" s="123"/>
      <c r="REE88" s="123"/>
      <c r="REF88" s="123"/>
      <c r="REG88" s="123"/>
      <c r="REH88" s="123"/>
      <c r="REI88" s="123"/>
      <c r="REJ88" s="123"/>
      <c r="REK88" s="123"/>
      <c r="REL88" s="123"/>
      <c r="REM88" s="123"/>
      <c r="REN88" s="123"/>
      <c r="REO88" s="123"/>
      <c r="REP88" s="123"/>
      <c r="REQ88" s="123"/>
      <c r="RER88" s="123"/>
      <c r="RES88" s="123"/>
      <c r="RET88" s="123"/>
      <c r="REU88" s="123"/>
      <c r="REV88" s="123"/>
      <c r="REW88" s="123"/>
      <c r="REX88" s="123"/>
      <c r="REY88" s="123"/>
      <c r="REZ88" s="123"/>
      <c r="RFA88" s="123"/>
      <c r="RFB88" s="123"/>
      <c r="RFC88" s="123"/>
      <c r="RFD88" s="123"/>
      <c r="RFE88" s="123"/>
      <c r="RFF88" s="123"/>
      <c r="RFG88" s="123"/>
      <c r="RFH88" s="123"/>
      <c r="RFI88" s="123"/>
      <c r="RFJ88" s="123"/>
      <c r="RFK88" s="123"/>
      <c r="RFL88" s="123"/>
      <c r="RFM88" s="123"/>
      <c r="RFN88" s="123"/>
      <c r="RFO88" s="123"/>
      <c r="RFP88" s="123"/>
      <c r="RFQ88" s="123"/>
      <c r="RFR88" s="123"/>
      <c r="RFS88" s="123"/>
      <c r="RFT88" s="123"/>
      <c r="RFU88" s="123"/>
      <c r="RFV88" s="123"/>
      <c r="RFW88" s="123"/>
      <c r="RFX88" s="123"/>
      <c r="RFY88" s="123"/>
      <c r="RFZ88" s="123"/>
      <c r="RGA88" s="123"/>
      <c r="RGB88" s="123"/>
      <c r="RGC88" s="123"/>
      <c r="RGD88" s="123"/>
      <c r="RGE88" s="123"/>
      <c r="RGF88" s="123"/>
      <c r="RGG88" s="123"/>
      <c r="RGH88" s="123"/>
      <c r="RGI88" s="123"/>
      <c r="RGJ88" s="123"/>
      <c r="RGK88" s="123"/>
      <c r="RGL88" s="123"/>
      <c r="RGM88" s="123"/>
      <c r="RGN88" s="123"/>
      <c r="RGO88" s="123"/>
      <c r="RGP88" s="123"/>
      <c r="RGQ88" s="123"/>
      <c r="RGR88" s="123"/>
      <c r="RGS88" s="123"/>
      <c r="RGT88" s="123"/>
      <c r="RGU88" s="123"/>
      <c r="RGV88" s="123"/>
      <c r="RGW88" s="123"/>
      <c r="RGX88" s="123"/>
      <c r="RGY88" s="123"/>
      <c r="RGZ88" s="123"/>
      <c r="RHA88" s="123"/>
      <c r="RHB88" s="123"/>
      <c r="RHC88" s="123"/>
      <c r="RHD88" s="123"/>
      <c r="RHE88" s="123"/>
      <c r="RHF88" s="123"/>
      <c r="RHG88" s="123"/>
      <c r="RHH88" s="123"/>
      <c r="RHI88" s="123"/>
      <c r="RHJ88" s="123"/>
      <c r="RHK88" s="123"/>
      <c r="RHL88" s="123"/>
      <c r="RHM88" s="123"/>
      <c r="RHN88" s="123"/>
      <c r="RHO88" s="123"/>
      <c r="RHP88" s="123"/>
      <c r="RHQ88" s="123"/>
      <c r="RHR88" s="123"/>
      <c r="RHS88" s="123"/>
      <c r="RHT88" s="123"/>
      <c r="RHU88" s="123"/>
      <c r="RHV88" s="123"/>
      <c r="RHW88" s="123"/>
      <c r="RHX88" s="123"/>
      <c r="RHY88" s="123"/>
      <c r="RHZ88" s="123"/>
      <c r="RIA88" s="123"/>
      <c r="RIB88" s="123"/>
      <c r="RIC88" s="123"/>
      <c r="RID88" s="123"/>
      <c r="RIE88" s="123"/>
      <c r="RIF88" s="123"/>
      <c r="RIG88" s="123"/>
      <c r="RIH88" s="123"/>
      <c r="RII88" s="123"/>
      <c r="RIJ88" s="123"/>
      <c r="RIK88" s="123"/>
      <c r="RIL88" s="123"/>
      <c r="RIM88" s="123"/>
      <c r="RIN88" s="123"/>
      <c r="RIO88" s="123"/>
      <c r="RIP88" s="123"/>
      <c r="RIQ88" s="123"/>
      <c r="RIR88" s="123"/>
      <c r="RIS88" s="123"/>
      <c r="RIT88" s="123"/>
      <c r="RIU88" s="123"/>
      <c r="RIV88" s="123"/>
      <c r="RIW88" s="123"/>
      <c r="RIX88" s="123"/>
      <c r="RIY88" s="123"/>
      <c r="RIZ88" s="123"/>
      <c r="RJA88" s="123"/>
      <c r="RJB88" s="123"/>
      <c r="RJC88" s="123"/>
      <c r="RJD88" s="123"/>
      <c r="RJE88" s="123"/>
      <c r="RJF88" s="123"/>
      <c r="RJG88" s="123"/>
      <c r="RJH88" s="123"/>
      <c r="RJI88" s="123"/>
      <c r="RJJ88" s="123"/>
      <c r="RJK88" s="123"/>
      <c r="RJL88" s="123"/>
      <c r="RJM88" s="123"/>
      <c r="RJN88" s="123"/>
      <c r="RJO88" s="123"/>
      <c r="RJP88" s="123"/>
      <c r="RJQ88" s="123"/>
      <c r="RJR88" s="123"/>
      <c r="RJS88" s="123"/>
      <c r="RJT88" s="123"/>
      <c r="RJU88" s="123"/>
      <c r="RJV88" s="123"/>
      <c r="RJW88" s="123"/>
      <c r="RJX88" s="123"/>
      <c r="RJY88" s="123"/>
      <c r="RJZ88" s="123"/>
      <c r="RKA88" s="123"/>
      <c r="RKB88" s="123"/>
      <c r="RKC88" s="123"/>
      <c r="RKD88" s="123"/>
      <c r="RKE88" s="123"/>
      <c r="RKF88" s="123"/>
      <c r="RKG88" s="123"/>
      <c r="RKH88" s="123"/>
      <c r="RKI88" s="123"/>
      <c r="RKJ88" s="123"/>
      <c r="RKK88" s="123"/>
      <c r="RKL88" s="123"/>
      <c r="RKM88" s="123"/>
      <c r="RKN88" s="123"/>
      <c r="RKO88" s="123"/>
      <c r="RKP88" s="123"/>
      <c r="RKQ88" s="123"/>
      <c r="RKR88" s="123"/>
      <c r="RKS88" s="123"/>
      <c r="RKT88" s="123"/>
      <c r="RKU88" s="123"/>
      <c r="RKV88" s="123"/>
      <c r="RKW88" s="123"/>
      <c r="RKX88" s="123"/>
      <c r="RKY88" s="123"/>
      <c r="RKZ88" s="123"/>
      <c r="RLA88" s="123"/>
      <c r="RLB88" s="123"/>
      <c r="RLC88" s="123"/>
      <c r="RLD88" s="123"/>
      <c r="RLE88" s="123"/>
      <c r="RLF88" s="123"/>
      <c r="RLG88" s="123"/>
      <c r="RLH88" s="123"/>
      <c r="RLI88" s="123"/>
      <c r="RLJ88" s="123"/>
      <c r="RLK88" s="123"/>
      <c r="RLL88" s="123"/>
      <c r="RLM88" s="123"/>
      <c r="RLN88" s="123"/>
      <c r="RLO88" s="123"/>
      <c r="RLP88" s="123"/>
      <c r="RLQ88" s="123"/>
      <c r="RLR88" s="123"/>
      <c r="RLS88" s="123"/>
      <c r="RLT88" s="123"/>
      <c r="RLU88" s="123"/>
      <c r="RLV88" s="123"/>
      <c r="RLW88" s="123"/>
      <c r="RLX88" s="123"/>
      <c r="RLY88" s="123"/>
      <c r="RLZ88" s="123"/>
      <c r="RMA88" s="123"/>
      <c r="RMB88" s="123"/>
      <c r="RMC88" s="123"/>
      <c r="RMD88" s="123"/>
      <c r="RME88" s="123"/>
      <c r="RMF88" s="123"/>
      <c r="RMG88" s="123"/>
      <c r="RMH88" s="123"/>
      <c r="RMI88" s="123"/>
      <c r="RMJ88" s="123"/>
      <c r="RMK88" s="123"/>
      <c r="RML88" s="123"/>
      <c r="RMM88" s="123"/>
      <c r="RMN88" s="123"/>
      <c r="RMO88" s="123"/>
      <c r="RMP88" s="123"/>
      <c r="RMQ88" s="123"/>
      <c r="RMR88" s="123"/>
      <c r="RMS88" s="123"/>
      <c r="RMT88" s="123"/>
      <c r="RMU88" s="123"/>
      <c r="RMV88" s="123"/>
      <c r="RMW88" s="123"/>
      <c r="RMX88" s="123"/>
      <c r="RMY88" s="123"/>
      <c r="RMZ88" s="123"/>
      <c r="RNA88" s="123"/>
      <c r="RNB88" s="123"/>
      <c r="RNC88" s="123"/>
      <c r="RND88" s="123"/>
      <c r="RNE88" s="123"/>
      <c r="RNF88" s="123"/>
      <c r="RNG88" s="123"/>
      <c r="RNH88" s="123"/>
      <c r="RNI88" s="123"/>
      <c r="RNJ88" s="123"/>
      <c r="RNK88" s="123"/>
      <c r="RNL88" s="123"/>
      <c r="RNM88" s="123"/>
      <c r="RNN88" s="123"/>
      <c r="RNO88" s="123"/>
      <c r="RNP88" s="123"/>
      <c r="RNQ88" s="123"/>
      <c r="RNR88" s="123"/>
      <c r="RNS88" s="123"/>
      <c r="RNT88" s="123"/>
      <c r="RNU88" s="123"/>
      <c r="RNV88" s="123"/>
      <c r="RNW88" s="123"/>
      <c r="RNX88" s="123"/>
      <c r="RNY88" s="123"/>
      <c r="RNZ88" s="123"/>
      <c r="ROA88" s="123"/>
      <c r="ROB88" s="123"/>
      <c r="ROC88" s="123"/>
      <c r="ROD88" s="123"/>
      <c r="ROE88" s="123"/>
      <c r="ROF88" s="123"/>
      <c r="ROG88" s="123"/>
      <c r="ROH88" s="123"/>
      <c r="ROI88" s="123"/>
      <c r="ROJ88" s="123"/>
      <c r="ROK88" s="123"/>
      <c r="ROL88" s="123"/>
      <c r="ROM88" s="123"/>
      <c r="RON88" s="123"/>
      <c r="ROO88" s="123"/>
      <c r="ROP88" s="123"/>
      <c r="ROQ88" s="123"/>
      <c r="ROR88" s="123"/>
      <c r="ROS88" s="123"/>
      <c r="ROT88" s="123"/>
      <c r="ROU88" s="123"/>
      <c r="ROV88" s="123"/>
      <c r="ROW88" s="123"/>
      <c r="ROX88" s="123"/>
      <c r="ROY88" s="123"/>
      <c r="ROZ88" s="123"/>
      <c r="RPA88" s="123"/>
      <c r="RPB88" s="123"/>
      <c r="RPC88" s="123"/>
      <c r="RPD88" s="123"/>
      <c r="RPE88" s="123"/>
      <c r="RPF88" s="123"/>
      <c r="RPG88" s="123"/>
      <c r="RPH88" s="123"/>
      <c r="RPI88" s="123"/>
      <c r="RPJ88" s="123"/>
      <c r="RPK88" s="123"/>
      <c r="RPL88" s="123"/>
      <c r="RPM88" s="123"/>
      <c r="RPN88" s="123"/>
      <c r="RPO88" s="123"/>
      <c r="RPP88" s="123"/>
      <c r="RPQ88" s="123"/>
      <c r="RPR88" s="123"/>
      <c r="RPS88" s="123"/>
      <c r="RPT88" s="123"/>
      <c r="RPU88" s="123"/>
      <c r="RPV88" s="123"/>
      <c r="RPW88" s="123"/>
      <c r="RPX88" s="123"/>
      <c r="RPY88" s="123"/>
      <c r="RPZ88" s="123"/>
      <c r="RQA88" s="123"/>
      <c r="RQB88" s="123"/>
      <c r="RQC88" s="123"/>
      <c r="RQD88" s="123"/>
      <c r="RQE88" s="123"/>
      <c r="RQF88" s="123"/>
      <c r="RQG88" s="123"/>
      <c r="RQH88" s="123"/>
      <c r="RQI88" s="123"/>
      <c r="RQJ88" s="123"/>
      <c r="RQK88" s="123"/>
      <c r="RQL88" s="123"/>
      <c r="RQM88" s="123"/>
      <c r="RQN88" s="123"/>
      <c r="RQO88" s="123"/>
      <c r="RQP88" s="123"/>
      <c r="RQQ88" s="123"/>
      <c r="RQR88" s="123"/>
      <c r="RQS88" s="123"/>
      <c r="RQT88" s="123"/>
      <c r="RQU88" s="123"/>
      <c r="RQV88" s="123"/>
      <c r="RQW88" s="123"/>
      <c r="RQX88" s="123"/>
      <c r="RQY88" s="123"/>
      <c r="RQZ88" s="123"/>
      <c r="RRA88" s="123"/>
      <c r="RRB88" s="123"/>
      <c r="RRC88" s="123"/>
      <c r="RRD88" s="123"/>
      <c r="RRE88" s="123"/>
      <c r="RRF88" s="123"/>
      <c r="RRG88" s="123"/>
      <c r="RRH88" s="123"/>
      <c r="RRI88" s="123"/>
      <c r="RRJ88" s="123"/>
      <c r="RRK88" s="123"/>
      <c r="RRL88" s="123"/>
      <c r="RRM88" s="123"/>
      <c r="RRN88" s="123"/>
      <c r="RRO88" s="123"/>
      <c r="RRP88" s="123"/>
      <c r="RRQ88" s="123"/>
      <c r="RRR88" s="123"/>
      <c r="RRS88" s="123"/>
      <c r="RRT88" s="123"/>
      <c r="RRU88" s="123"/>
      <c r="RRV88" s="123"/>
      <c r="RRW88" s="123"/>
      <c r="RRX88" s="123"/>
      <c r="RRY88" s="123"/>
      <c r="RRZ88" s="123"/>
      <c r="RSA88" s="123"/>
      <c r="RSB88" s="123"/>
      <c r="RSC88" s="123"/>
      <c r="RSD88" s="123"/>
      <c r="RSE88" s="123"/>
      <c r="RSF88" s="123"/>
      <c r="RSG88" s="123"/>
      <c r="RSH88" s="123"/>
      <c r="RSI88" s="123"/>
      <c r="RSJ88" s="123"/>
      <c r="RSK88" s="123"/>
      <c r="RSL88" s="123"/>
      <c r="RSM88" s="123"/>
      <c r="RSN88" s="123"/>
      <c r="RSO88" s="123"/>
      <c r="RSP88" s="123"/>
      <c r="RSQ88" s="123"/>
      <c r="RSR88" s="123"/>
      <c r="RSS88" s="123"/>
      <c r="RST88" s="123"/>
      <c r="RSU88" s="123"/>
      <c r="RSV88" s="123"/>
      <c r="RSW88" s="123"/>
      <c r="RSX88" s="123"/>
      <c r="RSY88" s="123"/>
      <c r="RSZ88" s="123"/>
      <c r="RTA88" s="123"/>
      <c r="RTB88" s="123"/>
      <c r="RTC88" s="123"/>
      <c r="RTD88" s="123"/>
      <c r="RTE88" s="123"/>
      <c r="RTF88" s="123"/>
      <c r="RTG88" s="123"/>
      <c r="RTH88" s="123"/>
      <c r="RTI88" s="123"/>
      <c r="RTJ88" s="123"/>
      <c r="RTK88" s="123"/>
      <c r="RTL88" s="123"/>
      <c r="RTM88" s="123"/>
      <c r="RTN88" s="123"/>
      <c r="RTO88" s="123"/>
      <c r="RTP88" s="123"/>
      <c r="RTQ88" s="123"/>
      <c r="RTR88" s="123"/>
      <c r="RTS88" s="123"/>
      <c r="RTT88" s="123"/>
      <c r="RTU88" s="123"/>
      <c r="RTV88" s="123"/>
      <c r="RTW88" s="123"/>
      <c r="RTX88" s="123"/>
      <c r="RTY88" s="123"/>
      <c r="RTZ88" s="123"/>
      <c r="RUA88" s="123"/>
      <c r="RUB88" s="123"/>
      <c r="RUC88" s="123"/>
      <c r="RUD88" s="123"/>
      <c r="RUE88" s="123"/>
      <c r="RUF88" s="123"/>
      <c r="RUG88" s="123"/>
      <c r="RUH88" s="123"/>
      <c r="RUI88" s="123"/>
      <c r="RUJ88" s="123"/>
      <c r="RUK88" s="123"/>
      <c r="RUL88" s="123"/>
      <c r="RUM88" s="123"/>
      <c r="RUN88" s="123"/>
      <c r="RUO88" s="123"/>
      <c r="RUP88" s="123"/>
      <c r="RUQ88" s="123"/>
      <c r="RUR88" s="123"/>
      <c r="RUS88" s="123"/>
      <c r="RUT88" s="123"/>
      <c r="RUU88" s="123"/>
      <c r="RUV88" s="123"/>
      <c r="RUW88" s="123"/>
      <c r="RUX88" s="123"/>
      <c r="RUY88" s="123"/>
      <c r="RUZ88" s="123"/>
      <c r="RVA88" s="123"/>
      <c r="RVB88" s="123"/>
      <c r="RVC88" s="123"/>
      <c r="RVD88" s="123"/>
      <c r="RVE88" s="123"/>
      <c r="RVF88" s="123"/>
      <c r="RVG88" s="123"/>
      <c r="RVH88" s="123"/>
      <c r="RVI88" s="123"/>
      <c r="RVJ88" s="123"/>
      <c r="RVK88" s="123"/>
      <c r="RVL88" s="123"/>
      <c r="RVM88" s="123"/>
      <c r="RVN88" s="123"/>
      <c r="RVO88" s="123"/>
      <c r="RVP88" s="123"/>
      <c r="RVQ88" s="123"/>
      <c r="RVR88" s="123"/>
      <c r="RVS88" s="123"/>
      <c r="RVT88" s="123"/>
      <c r="RVU88" s="123"/>
      <c r="RVV88" s="123"/>
      <c r="RVW88" s="123"/>
      <c r="RVX88" s="123"/>
      <c r="RVY88" s="123"/>
      <c r="RVZ88" s="123"/>
      <c r="RWA88" s="123"/>
      <c r="RWB88" s="123"/>
      <c r="RWC88" s="123"/>
      <c r="RWD88" s="123"/>
      <c r="RWE88" s="123"/>
      <c r="RWF88" s="123"/>
      <c r="RWG88" s="123"/>
      <c r="RWH88" s="123"/>
      <c r="RWI88" s="123"/>
      <c r="RWJ88" s="123"/>
      <c r="RWK88" s="123"/>
      <c r="RWL88" s="123"/>
      <c r="RWM88" s="123"/>
      <c r="RWN88" s="123"/>
      <c r="RWO88" s="123"/>
      <c r="RWP88" s="123"/>
      <c r="RWQ88" s="123"/>
      <c r="RWR88" s="123"/>
      <c r="RWS88" s="123"/>
      <c r="RWT88" s="123"/>
      <c r="RWU88" s="123"/>
      <c r="RWV88" s="123"/>
      <c r="RWW88" s="123"/>
      <c r="RWX88" s="123"/>
      <c r="RWY88" s="123"/>
      <c r="RWZ88" s="123"/>
      <c r="RXA88" s="123"/>
      <c r="RXB88" s="123"/>
      <c r="RXC88" s="123"/>
      <c r="RXD88" s="123"/>
      <c r="RXE88" s="123"/>
      <c r="RXF88" s="123"/>
      <c r="RXG88" s="123"/>
      <c r="RXH88" s="123"/>
      <c r="RXI88" s="123"/>
      <c r="RXJ88" s="123"/>
      <c r="RXK88" s="123"/>
      <c r="RXL88" s="123"/>
      <c r="RXM88" s="123"/>
      <c r="RXN88" s="123"/>
      <c r="RXO88" s="123"/>
      <c r="RXP88" s="123"/>
      <c r="RXQ88" s="123"/>
      <c r="RXR88" s="123"/>
      <c r="RXS88" s="123"/>
      <c r="RXT88" s="123"/>
      <c r="RXU88" s="123"/>
      <c r="RXV88" s="123"/>
      <c r="RXW88" s="123"/>
      <c r="RXX88" s="123"/>
      <c r="RXY88" s="123"/>
      <c r="RXZ88" s="123"/>
      <c r="RYA88" s="123"/>
      <c r="RYB88" s="123"/>
      <c r="RYC88" s="123"/>
      <c r="RYD88" s="123"/>
      <c r="RYE88" s="123"/>
      <c r="RYF88" s="123"/>
      <c r="RYG88" s="123"/>
      <c r="RYH88" s="123"/>
      <c r="RYI88" s="123"/>
      <c r="RYJ88" s="123"/>
      <c r="RYK88" s="123"/>
      <c r="RYL88" s="123"/>
      <c r="RYM88" s="123"/>
      <c r="RYN88" s="123"/>
      <c r="RYO88" s="123"/>
      <c r="RYP88" s="123"/>
      <c r="RYQ88" s="123"/>
      <c r="RYR88" s="123"/>
      <c r="RYS88" s="123"/>
      <c r="RYT88" s="123"/>
      <c r="RYU88" s="123"/>
      <c r="RYV88" s="123"/>
      <c r="RYW88" s="123"/>
      <c r="RYX88" s="123"/>
      <c r="RYY88" s="123"/>
      <c r="RYZ88" s="123"/>
      <c r="RZA88" s="123"/>
      <c r="RZB88" s="123"/>
      <c r="RZC88" s="123"/>
      <c r="RZD88" s="123"/>
      <c r="RZE88" s="123"/>
      <c r="RZF88" s="123"/>
      <c r="RZG88" s="123"/>
      <c r="RZH88" s="123"/>
      <c r="RZI88" s="123"/>
      <c r="RZJ88" s="123"/>
      <c r="RZK88" s="123"/>
      <c r="RZL88" s="123"/>
      <c r="RZM88" s="123"/>
      <c r="RZN88" s="123"/>
      <c r="RZO88" s="123"/>
      <c r="RZP88" s="123"/>
      <c r="RZQ88" s="123"/>
      <c r="RZR88" s="123"/>
      <c r="RZS88" s="123"/>
      <c r="RZT88" s="123"/>
      <c r="RZU88" s="123"/>
      <c r="RZV88" s="123"/>
      <c r="RZW88" s="123"/>
      <c r="RZX88" s="123"/>
      <c r="RZY88" s="123"/>
      <c r="RZZ88" s="123"/>
      <c r="SAA88" s="123"/>
      <c r="SAB88" s="123"/>
      <c r="SAC88" s="123"/>
      <c r="SAD88" s="123"/>
      <c r="SAE88" s="123"/>
      <c r="SAF88" s="123"/>
      <c r="SAG88" s="123"/>
      <c r="SAH88" s="123"/>
      <c r="SAI88" s="123"/>
      <c r="SAJ88" s="123"/>
      <c r="SAK88" s="123"/>
      <c r="SAL88" s="123"/>
      <c r="SAM88" s="123"/>
      <c r="SAN88" s="123"/>
      <c r="SAO88" s="123"/>
      <c r="SAP88" s="123"/>
      <c r="SAQ88" s="123"/>
      <c r="SAR88" s="123"/>
      <c r="SAS88" s="123"/>
      <c r="SAT88" s="123"/>
      <c r="SAU88" s="123"/>
      <c r="SAV88" s="123"/>
      <c r="SAW88" s="123"/>
      <c r="SAX88" s="123"/>
      <c r="SAY88" s="123"/>
      <c r="SAZ88" s="123"/>
      <c r="SBA88" s="123"/>
      <c r="SBB88" s="123"/>
      <c r="SBC88" s="123"/>
      <c r="SBD88" s="123"/>
      <c r="SBE88" s="123"/>
      <c r="SBF88" s="123"/>
      <c r="SBG88" s="123"/>
      <c r="SBH88" s="123"/>
      <c r="SBI88" s="123"/>
      <c r="SBJ88" s="123"/>
      <c r="SBK88" s="123"/>
      <c r="SBL88" s="123"/>
      <c r="SBM88" s="123"/>
      <c r="SBN88" s="123"/>
      <c r="SBO88" s="123"/>
      <c r="SBP88" s="123"/>
      <c r="SBQ88" s="123"/>
      <c r="SBR88" s="123"/>
      <c r="SBS88" s="123"/>
      <c r="SBT88" s="123"/>
      <c r="SBU88" s="123"/>
      <c r="SBV88" s="123"/>
      <c r="SBW88" s="123"/>
      <c r="SBX88" s="123"/>
      <c r="SBY88" s="123"/>
      <c r="SBZ88" s="123"/>
      <c r="SCA88" s="123"/>
      <c r="SCB88" s="123"/>
      <c r="SCC88" s="123"/>
      <c r="SCD88" s="123"/>
      <c r="SCE88" s="123"/>
      <c r="SCF88" s="123"/>
      <c r="SCG88" s="123"/>
      <c r="SCH88" s="123"/>
      <c r="SCI88" s="123"/>
      <c r="SCJ88" s="123"/>
      <c r="SCK88" s="123"/>
      <c r="SCL88" s="123"/>
      <c r="SCM88" s="123"/>
      <c r="SCN88" s="123"/>
      <c r="SCO88" s="123"/>
      <c r="SCP88" s="123"/>
      <c r="SCQ88" s="123"/>
      <c r="SCR88" s="123"/>
      <c r="SCS88" s="123"/>
      <c r="SCT88" s="123"/>
      <c r="SCU88" s="123"/>
      <c r="SCV88" s="123"/>
      <c r="SCW88" s="123"/>
      <c r="SCX88" s="123"/>
      <c r="SCY88" s="123"/>
      <c r="SCZ88" s="123"/>
      <c r="SDA88" s="123"/>
      <c r="SDB88" s="123"/>
      <c r="SDC88" s="123"/>
      <c r="SDD88" s="123"/>
      <c r="SDE88" s="123"/>
      <c r="SDF88" s="123"/>
      <c r="SDG88" s="123"/>
      <c r="SDH88" s="123"/>
      <c r="SDI88" s="123"/>
      <c r="SDJ88" s="123"/>
      <c r="SDK88" s="123"/>
      <c r="SDL88" s="123"/>
      <c r="SDM88" s="123"/>
      <c r="SDN88" s="123"/>
      <c r="SDO88" s="123"/>
      <c r="SDP88" s="123"/>
      <c r="SDQ88" s="123"/>
      <c r="SDR88" s="123"/>
      <c r="SDS88" s="123"/>
      <c r="SDT88" s="123"/>
      <c r="SDU88" s="123"/>
      <c r="SDV88" s="123"/>
      <c r="SDW88" s="123"/>
      <c r="SDX88" s="123"/>
      <c r="SDY88" s="123"/>
      <c r="SDZ88" s="123"/>
      <c r="SEA88" s="123"/>
      <c r="SEB88" s="123"/>
      <c r="SEC88" s="123"/>
      <c r="SED88" s="123"/>
      <c r="SEE88" s="123"/>
      <c r="SEF88" s="123"/>
      <c r="SEG88" s="123"/>
      <c r="SEH88" s="123"/>
      <c r="SEI88" s="123"/>
      <c r="SEJ88" s="123"/>
      <c r="SEK88" s="123"/>
      <c r="SEL88" s="123"/>
      <c r="SEM88" s="123"/>
      <c r="SEN88" s="123"/>
      <c r="SEO88" s="123"/>
      <c r="SEP88" s="123"/>
      <c r="SEQ88" s="123"/>
      <c r="SER88" s="123"/>
      <c r="SES88" s="123"/>
      <c r="SET88" s="123"/>
      <c r="SEU88" s="123"/>
      <c r="SEV88" s="123"/>
      <c r="SEW88" s="123"/>
      <c r="SEX88" s="123"/>
      <c r="SEY88" s="123"/>
      <c r="SEZ88" s="123"/>
      <c r="SFA88" s="123"/>
      <c r="SFB88" s="123"/>
      <c r="SFC88" s="123"/>
      <c r="SFD88" s="123"/>
      <c r="SFE88" s="123"/>
      <c r="SFF88" s="123"/>
      <c r="SFG88" s="123"/>
      <c r="SFH88" s="123"/>
      <c r="SFI88" s="123"/>
      <c r="SFJ88" s="123"/>
      <c r="SFK88" s="123"/>
      <c r="SFL88" s="123"/>
      <c r="SFM88" s="123"/>
      <c r="SFN88" s="123"/>
      <c r="SFO88" s="123"/>
      <c r="SFP88" s="123"/>
      <c r="SFQ88" s="123"/>
      <c r="SFR88" s="123"/>
      <c r="SFS88" s="123"/>
      <c r="SFT88" s="123"/>
      <c r="SFU88" s="123"/>
      <c r="SFV88" s="123"/>
      <c r="SFW88" s="123"/>
      <c r="SFX88" s="123"/>
      <c r="SFY88" s="123"/>
      <c r="SFZ88" s="123"/>
      <c r="SGA88" s="123"/>
      <c r="SGB88" s="123"/>
      <c r="SGC88" s="123"/>
      <c r="SGD88" s="123"/>
      <c r="SGE88" s="123"/>
      <c r="SGF88" s="123"/>
      <c r="SGG88" s="123"/>
      <c r="SGH88" s="123"/>
      <c r="SGI88" s="123"/>
      <c r="SGJ88" s="123"/>
      <c r="SGK88" s="123"/>
      <c r="SGL88" s="123"/>
      <c r="SGM88" s="123"/>
      <c r="SGN88" s="123"/>
      <c r="SGO88" s="123"/>
      <c r="SGP88" s="123"/>
      <c r="SGQ88" s="123"/>
      <c r="SGR88" s="123"/>
      <c r="SGS88" s="123"/>
      <c r="SGT88" s="123"/>
      <c r="SGU88" s="123"/>
      <c r="SGV88" s="123"/>
      <c r="SGW88" s="123"/>
      <c r="SGX88" s="123"/>
      <c r="SGY88" s="123"/>
      <c r="SGZ88" s="123"/>
      <c r="SHA88" s="123"/>
      <c r="SHB88" s="123"/>
      <c r="SHC88" s="123"/>
      <c r="SHD88" s="123"/>
      <c r="SHE88" s="123"/>
      <c r="SHF88" s="123"/>
      <c r="SHG88" s="123"/>
      <c r="SHH88" s="123"/>
      <c r="SHI88" s="123"/>
      <c r="SHJ88" s="123"/>
      <c r="SHK88" s="123"/>
      <c r="SHL88" s="123"/>
      <c r="SHM88" s="123"/>
      <c r="SHN88" s="123"/>
      <c r="SHO88" s="123"/>
      <c r="SHP88" s="123"/>
      <c r="SHQ88" s="123"/>
      <c r="SHR88" s="123"/>
      <c r="SHS88" s="123"/>
      <c r="SHT88" s="123"/>
      <c r="SHU88" s="123"/>
      <c r="SHV88" s="123"/>
      <c r="SHW88" s="123"/>
      <c r="SHX88" s="123"/>
      <c r="SHY88" s="123"/>
      <c r="SHZ88" s="123"/>
      <c r="SIA88" s="123"/>
      <c r="SIB88" s="123"/>
      <c r="SIC88" s="123"/>
      <c r="SID88" s="123"/>
      <c r="SIE88" s="123"/>
      <c r="SIF88" s="123"/>
      <c r="SIG88" s="123"/>
      <c r="SIH88" s="123"/>
      <c r="SII88" s="123"/>
      <c r="SIJ88" s="123"/>
      <c r="SIK88" s="123"/>
      <c r="SIL88" s="123"/>
      <c r="SIM88" s="123"/>
      <c r="SIN88" s="123"/>
      <c r="SIO88" s="123"/>
      <c r="SIP88" s="123"/>
      <c r="SIQ88" s="123"/>
      <c r="SIR88" s="123"/>
      <c r="SIS88" s="123"/>
      <c r="SIT88" s="123"/>
      <c r="SIU88" s="123"/>
      <c r="SIV88" s="123"/>
      <c r="SIW88" s="123"/>
      <c r="SIX88" s="123"/>
      <c r="SIY88" s="123"/>
      <c r="SIZ88" s="123"/>
      <c r="SJA88" s="123"/>
      <c r="SJB88" s="123"/>
      <c r="SJC88" s="123"/>
      <c r="SJD88" s="123"/>
      <c r="SJE88" s="123"/>
      <c r="SJF88" s="123"/>
      <c r="SJG88" s="123"/>
      <c r="SJH88" s="123"/>
      <c r="SJI88" s="123"/>
      <c r="SJJ88" s="123"/>
      <c r="SJK88" s="123"/>
      <c r="SJL88" s="123"/>
      <c r="SJM88" s="123"/>
      <c r="SJN88" s="123"/>
      <c r="SJO88" s="123"/>
      <c r="SJP88" s="123"/>
      <c r="SJQ88" s="123"/>
      <c r="SJR88" s="123"/>
      <c r="SJS88" s="123"/>
      <c r="SJT88" s="123"/>
      <c r="SJU88" s="123"/>
      <c r="SJV88" s="123"/>
      <c r="SJW88" s="123"/>
      <c r="SJX88" s="123"/>
      <c r="SJY88" s="123"/>
      <c r="SJZ88" s="123"/>
      <c r="SKA88" s="123"/>
      <c r="SKB88" s="123"/>
      <c r="SKC88" s="123"/>
      <c r="SKD88" s="123"/>
      <c r="SKE88" s="123"/>
      <c r="SKF88" s="123"/>
      <c r="SKG88" s="123"/>
      <c r="SKH88" s="123"/>
      <c r="SKI88" s="123"/>
      <c r="SKJ88" s="123"/>
      <c r="SKK88" s="123"/>
      <c r="SKL88" s="123"/>
      <c r="SKM88" s="123"/>
      <c r="SKN88" s="123"/>
      <c r="SKO88" s="123"/>
      <c r="SKP88" s="123"/>
      <c r="SKQ88" s="123"/>
      <c r="SKR88" s="123"/>
      <c r="SKS88" s="123"/>
      <c r="SKT88" s="123"/>
      <c r="SKU88" s="123"/>
      <c r="SKV88" s="123"/>
      <c r="SKW88" s="123"/>
      <c r="SKX88" s="123"/>
      <c r="SKY88" s="123"/>
      <c r="SKZ88" s="123"/>
      <c r="SLA88" s="123"/>
      <c r="SLB88" s="123"/>
      <c r="SLC88" s="123"/>
      <c r="SLD88" s="123"/>
      <c r="SLE88" s="123"/>
      <c r="SLF88" s="123"/>
      <c r="SLG88" s="123"/>
      <c r="SLH88" s="123"/>
      <c r="SLI88" s="123"/>
      <c r="SLJ88" s="123"/>
      <c r="SLK88" s="123"/>
      <c r="SLL88" s="123"/>
      <c r="SLM88" s="123"/>
      <c r="SLN88" s="123"/>
      <c r="SLO88" s="123"/>
      <c r="SLP88" s="123"/>
      <c r="SLQ88" s="123"/>
      <c r="SLR88" s="123"/>
      <c r="SLS88" s="123"/>
      <c r="SLT88" s="123"/>
      <c r="SLU88" s="123"/>
      <c r="SLV88" s="123"/>
      <c r="SLW88" s="123"/>
      <c r="SLX88" s="123"/>
      <c r="SLY88" s="123"/>
      <c r="SLZ88" s="123"/>
      <c r="SMA88" s="123"/>
      <c r="SMB88" s="123"/>
      <c r="SMC88" s="123"/>
      <c r="SMD88" s="123"/>
      <c r="SME88" s="123"/>
      <c r="SMF88" s="123"/>
      <c r="SMG88" s="123"/>
      <c r="SMH88" s="123"/>
      <c r="SMI88" s="123"/>
      <c r="SMJ88" s="123"/>
      <c r="SMK88" s="123"/>
      <c r="SML88" s="123"/>
      <c r="SMM88" s="123"/>
      <c r="SMN88" s="123"/>
      <c r="SMO88" s="123"/>
      <c r="SMP88" s="123"/>
      <c r="SMQ88" s="123"/>
      <c r="SMR88" s="123"/>
      <c r="SMS88" s="123"/>
      <c r="SMT88" s="123"/>
      <c r="SMU88" s="123"/>
      <c r="SMV88" s="123"/>
      <c r="SMW88" s="123"/>
      <c r="SMX88" s="123"/>
      <c r="SMY88" s="123"/>
      <c r="SMZ88" s="123"/>
      <c r="SNA88" s="123"/>
      <c r="SNB88" s="123"/>
      <c r="SNC88" s="123"/>
      <c r="SND88" s="123"/>
      <c r="SNE88" s="123"/>
      <c r="SNF88" s="123"/>
      <c r="SNG88" s="123"/>
      <c r="SNH88" s="123"/>
      <c r="SNI88" s="123"/>
      <c r="SNJ88" s="123"/>
      <c r="SNK88" s="123"/>
      <c r="SNL88" s="123"/>
      <c r="SNM88" s="123"/>
      <c r="SNN88" s="123"/>
      <c r="SNO88" s="123"/>
      <c r="SNP88" s="123"/>
      <c r="SNQ88" s="123"/>
      <c r="SNR88" s="123"/>
      <c r="SNS88" s="123"/>
      <c r="SNT88" s="123"/>
      <c r="SNU88" s="123"/>
      <c r="SNV88" s="123"/>
      <c r="SNW88" s="123"/>
      <c r="SNX88" s="123"/>
      <c r="SNY88" s="123"/>
      <c r="SNZ88" s="123"/>
      <c r="SOA88" s="123"/>
      <c r="SOB88" s="123"/>
      <c r="SOC88" s="123"/>
      <c r="SOD88" s="123"/>
      <c r="SOE88" s="123"/>
      <c r="SOF88" s="123"/>
      <c r="SOG88" s="123"/>
      <c r="SOH88" s="123"/>
      <c r="SOI88" s="123"/>
      <c r="SOJ88" s="123"/>
      <c r="SOK88" s="123"/>
      <c r="SOL88" s="123"/>
      <c r="SOM88" s="123"/>
      <c r="SON88" s="123"/>
      <c r="SOO88" s="123"/>
      <c r="SOP88" s="123"/>
      <c r="SOQ88" s="123"/>
      <c r="SOR88" s="123"/>
      <c r="SOS88" s="123"/>
      <c r="SOT88" s="123"/>
      <c r="SOU88" s="123"/>
      <c r="SOV88" s="123"/>
      <c r="SOW88" s="123"/>
      <c r="SOX88" s="123"/>
      <c r="SOY88" s="123"/>
      <c r="SOZ88" s="123"/>
      <c r="SPA88" s="123"/>
      <c r="SPB88" s="123"/>
      <c r="SPC88" s="123"/>
      <c r="SPD88" s="123"/>
      <c r="SPE88" s="123"/>
      <c r="SPF88" s="123"/>
      <c r="SPG88" s="123"/>
      <c r="SPH88" s="123"/>
      <c r="SPI88" s="123"/>
      <c r="SPJ88" s="123"/>
      <c r="SPK88" s="123"/>
      <c r="SPL88" s="123"/>
      <c r="SPM88" s="123"/>
      <c r="SPN88" s="123"/>
      <c r="SPO88" s="123"/>
      <c r="SPP88" s="123"/>
      <c r="SPQ88" s="123"/>
      <c r="SPR88" s="123"/>
      <c r="SPS88" s="123"/>
      <c r="SPT88" s="123"/>
      <c r="SPU88" s="123"/>
      <c r="SPV88" s="123"/>
      <c r="SPW88" s="123"/>
      <c r="SPX88" s="123"/>
      <c r="SPY88" s="123"/>
      <c r="SPZ88" s="123"/>
      <c r="SQA88" s="123"/>
      <c r="SQB88" s="123"/>
      <c r="SQC88" s="123"/>
      <c r="SQD88" s="123"/>
      <c r="SQE88" s="123"/>
      <c r="SQF88" s="123"/>
      <c r="SQG88" s="123"/>
      <c r="SQH88" s="123"/>
      <c r="SQI88" s="123"/>
      <c r="SQJ88" s="123"/>
      <c r="SQK88" s="123"/>
      <c r="SQL88" s="123"/>
      <c r="SQM88" s="123"/>
      <c r="SQN88" s="123"/>
      <c r="SQO88" s="123"/>
      <c r="SQP88" s="123"/>
      <c r="SQQ88" s="123"/>
      <c r="SQR88" s="123"/>
      <c r="SQS88" s="123"/>
      <c r="SQT88" s="123"/>
      <c r="SQU88" s="123"/>
      <c r="SQV88" s="123"/>
      <c r="SQW88" s="123"/>
      <c r="SQX88" s="123"/>
      <c r="SQY88" s="123"/>
      <c r="SQZ88" s="123"/>
      <c r="SRA88" s="123"/>
      <c r="SRB88" s="123"/>
      <c r="SRC88" s="123"/>
      <c r="SRD88" s="123"/>
      <c r="SRE88" s="123"/>
      <c r="SRF88" s="123"/>
      <c r="SRG88" s="123"/>
      <c r="SRH88" s="123"/>
      <c r="SRI88" s="123"/>
      <c r="SRJ88" s="123"/>
      <c r="SRK88" s="123"/>
      <c r="SRL88" s="123"/>
      <c r="SRM88" s="123"/>
      <c r="SRN88" s="123"/>
      <c r="SRO88" s="123"/>
      <c r="SRP88" s="123"/>
      <c r="SRQ88" s="123"/>
      <c r="SRR88" s="123"/>
      <c r="SRS88" s="123"/>
      <c r="SRT88" s="123"/>
      <c r="SRU88" s="123"/>
      <c r="SRV88" s="123"/>
      <c r="SRW88" s="123"/>
      <c r="SRX88" s="123"/>
      <c r="SRY88" s="123"/>
      <c r="SRZ88" s="123"/>
      <c r="SSA88" s="123"/>
      <c r="SSB88" s="123"/>
      <c r="SSC88" s="123"/>
      <c r="SSD88" s="123"/>
      <c r="SSE88" s="123"/>
      <c r="SSF88" s="123"/>
      <c r="SSG88" s="123"/>
      <c r="SSH88" s="123"/>
      <c r="SSI88" s="123"/>
      <c r="SSJ88" s="123"/>
      <c r="SSK88" s="123"/>
      <c r="SSL88" s="123"/>
      <c r="SSM88" s="123"/>
      <c r="SSN88" s="123"/>
      <c r="SSO88" s="123"/>
      <c r="SSP88" s="123"/>
      <c r="SSQ88" s="123"/>
      <c r="SSR88" s="123"/>
      <c r="SSS88" s="123"/>
      <c r="SST88" s="123"/>
      <c r="SSU88" s="123"/>
      <c r="SSV88" s="123"/>
      <c r="SSW88" s="123"/>
      <c r="SSX88" s="123"/>
      <c r="SSY88" s="123"/>
      <c r="SSZ88" s="123"/>
      <c r="STA88" s="123"/>
      <c r="STB88" s="123"/>
      <c r="STC88" s="123"/>
      <c r="STD88" s="123"/>
      <c r="STE88" s="123"/>
      <c r="STF88" s="123"/>
      <c r="STG88" s="123"/>
      <c r="STH88" s="123"/>
      <c r="STI88" s="123"/>
      <c r="STJ88" s="123"/>
      <c r="STK88" s="123"/>
      <c r="STL88" s="123"/>
      <c r="STM88" s="123"/>
      <c r="STN88" s="123"/>
      <c r="STO88" s="123"/>
      <c r="STP88" s="123"/>
      <c r="STQ88" s="123"/>
      <c r="STR88" s="123"/>
      <c r="STS88" s="123"/>
      <c r="STT88" s="123"/>
      <c r="STU88" s="123"/>
      <c r="STV88" s="123"/>
      <c r="STW88" s="123"/>
      <c r="STX88" s="123"/>
      <c r="STY88" s="123"/>
      <c r="STZ88" s="123"/>
      <c r="SUA88" s="123"/>
      <c r="SUB88" s="123"/>
      <c r="SUC88" s="123"/>
      <c r="SUD88" s="123"/>
      <c r="SUE88" s="123"/>
      <c r="SUF88" s="123"/>
      <c r="SUG88" s="123"/>
      <c r="SUH88" s="123"/>
      <c r="SUI88" s="123"/>
      <c r="SUJ88" s="123"/>
      <c r="SUK88" s="123"/>
      <c r="SUL88" s="123"/>
      <c r="SUM88" s="123"/>
      <c r="SUN88" s="123"/>
      <c r="SUO88" s="123"/>
      <c r="SUP88" s="123"/>
      <c r="SUQ88" s="123"/>
      <c r="SUR88" s="123"/>
      <c r="SUS88" s="123"/>
      <c r="SUT88" s="123"/>
      <c r="SUU88" s="123"/>
      <c r="SUV88" s="123"/>
      <c r="SUW88" s="123"/>
      <c r="SUX88" s="123"/>
      <c r="SUY88" s="123"/>
      <c r="SUZ88" s="123"/>
      <c r="SVA88" s="123"/>
      <c r="SVB88" s="123"/>
      <c r="SVC88" s="123"/>
      <c r="SVD88" s="123"/>
      <c r="SVE88" s="123"/>
      <c r="SVF88" s="123"/>
      <c r="SVG88" s="123"/>
      <c r="SVH88" s="123"/>
      <c r="SVI88" s="123"/>
      <c r="SVJ88" s="123"/>
      <c r="SVK88" s="123"/>
      <c r="SVL88" s="123"/>
      <c r="SVM88" s="123"/>
      <c r="SVN88" s="123"/>
      <c r="SVO88" s="123"/>
      <c r="SVP88" s="123"/>
      <c r="SVQ88" s="123"/>
      <c r="SVR88" s="123"/>
      <c r="SVS88" s="123"/>
      <c r="SVT88" s="123"/>
      <c r="SVU88" s="123"/>
      <c r="SVV88" s="123"/>
      <c r="SVW88" s="123"/>
      <c r="SVX88" s="123"/>
      <c r="SVY88" s="123"/>
      <c r="SVZ88" s="123"/>
      <c r="SWA88" s="123"/>
      <c r="SWB88" s="123"/>
      <c r="SWC88" s="123"/>
      <c r="SWD88" s="123"/>
      <c r="SWE88" s="123"/>
      <c r="SWF88" s="123"/>
      <c r="SWG88" s="123"/>
      <c r="SWH88" s="123"/>
      <c r="SWI88" s="123"/>
      <c r="SWJ88" s="123"/>
      <c r="SWK88" s="123"/>
      <c r="SWL88" s="123"/>
      <c r="SWM88" s="123"/>
      <c r="SWN88" s="123"/>
      <c r="SWO88" s="123"/>
      <c r="SWP88" s="123"/>
      <c r="SWQ88" s="123"/>
      <c r="SWR88" s="123"/>
      <c r="SWS88" s="123"/>
      <c r="SWT88" s="123"/>
      <c r="SWU88" s="123"/>
      <c r="SWV88" s="123"/>
      <c r="SWW88" s="123"/>
      <c r="SWX88" s="123"/>
      <c r="SWY88" s="123"/>
      <c r="SWZ88" s="123"/>
      <c r="SXA88" s="123"/>
      <c r="SXB88" s="123"/>
      <c r="SXC88" s="123"/>
      <c r="SXD88" s="123"/>
      <c r="SXE88" s="123"/>
      <c r="SXF88" s="123"/>
      <c r="SXG88" s="123"/>
      <c r="SXH88" s="123"/>
      <c r="SXI88" s="123"/>
      <c r="SXJ88" s="123"/>
      <c r="SXK88" s="123"/>
      <c r="SXL88" s="123"/>
      <c r="SXM88" s="123"/>
      <c r="SXN88" s="123"/>
      <c r="SXO88" s="123"/>
      <c r="SXP88" s="123"/>
      <c r="SXQ88" s="123"/>
      <c r="SXR88" s="123"/>
      <c r="SXS88" s="123"/>
      <c r="SXT88" s="123"/>
      <c r="SXU88" s="123"/>
      <c r="SXV88" s="123"/>
      <c r="SXW88" s="123"/>
      <c r="SXX88" s="123"/>
      <c r="SXY88" s="123"/>
      <c r="SXZ88" s="123"/>
      <c r="SYA88" s="123"/>
      <c r="SYB88" s="123"/>
      <c r="SYC88" s="123"/>
      <c r="SYD88" s="123"/>
      <c r="SYE88" s="123"/>
      <c r="SYF88" s="123"/>
      <c r="SYG88" s="123"/>
      <c r="SYH88" s="123"/>
      <c r="SYI88" s="123"/>
      <c r="SYJ88" s="123"/>
      <c r="SYK88" s="123"/>
      <c r="SYL88" s="123"/>
      <c r="SYM88" s="123"/>
      <c r="SYN88" s="123"/>
      <c r="SYO88" s="123"/>
      <c r="SYP88" s="123"/>
      <c r="SYQ88" s="123"/>
      <c r="SYR88" s="123"/>
      <c r="SYS88" s="123"/>
      <c r="SYT88" s="123"/>
      <c r="SYU88" s="123"/>
      <c r="SYV88" s="123"/>
      <c r="SYW88" s="123"/>
      <c r="SYX88" s="123"/>
      <c r="SYY88" s="123"/>
      <c r="SYZ88" s="123"/>
      <c r="SZA88" s="123"/>
      <c r="SZB88" s="123"/>
      <c r="SZC88" s="123"/>
      <c r="SZD88" s="123"/>
      <c r="SZE88" s="123"/>
      <c r="SZF88" s="123"/>
      <c r="SZG88" s="123"/>
      <c r="SZH88" s="123"/>
      <c r="SZI88" s="123"/>
      <c r="SZJ88" s="123"/>
      <c r="SZK88" s="123"/>
      <c r="SZL88" s="123"/>
      <c r="SZM88" s="123"/>
      <c r="SZN88" s="123"/>
      <c r="SZO88" s="123"/>
      <c r="SZP88" s="123"/>
      <c r="SZQ88" s="123"/>
      <c r="SZR88" s="123"/>
      <c r="SZS88" s="123"/>
      <c r="SZT88" s="123"/>
      <c r="SZU88" s="123"/>
      <c r="SZV88" s="123"/>
      <c r="SZW88" s="123"/>
      <c r="SZX88" s="123"/>
      <c r="SZY88" s="123"/>
      <c r="SZZ88" s="123"/>
      <c r="TAA88" s="123"/>
      <c r="TAB88" s="123"/>
      <c r="TAC88" s="123"/>
      <c r="TAD88" s="123"/>
      <c r="TAE88" s="123"/>
      <c r="TAF88" s="123"/>
      <c r="TAG88" s="123"/>
      <c r="TAH88" s="123"/>
      <c r="TAI88" s="123"/>
      <c r="TAJ88" s="123"/>
      <c r="TAK88" s="123"/>
      <c r="TAL88" s="123"/>
      <c r="TAM88" s="123"/>
      <c r="TAN88" s="123"/>
      <c r="TAO88" s="123"/>
      <c r="TAP88" s="123"/>
      <c r="TAQ88" s="123"/>
      <c r="TAR88" s="123"/>
      <c r="TAS88" s="123"/>
      <c r="TAT88" s="123"/>
      <c r="TAU88" s="123"/>
      <c r="TAV88" s="123"/>
      <c r="TAW88" s="123"/>
      <c r="TAX88" s="123"/>
      <c r="TAY88" s="123"/>
      <c r="TAZ88" s="123"/>
      <c r="TBA88" s="123"/>
      <c r="TBB88" s="123"/>
      <c r="TBC88" s="123"/>
      <c r="TBD88" s="123"/>
      <c r="TBE88" s="123"/>
      <c r="TBF88" s="123"/>
      <c r="TBG88" s="123"/>
      <c r="TBH88" s="123"/>
      <c r="TBI88" s="123"/>
      <c r="TBJ88" s="123"/>
      <c r="TBK88" s="123"/>
      <c r="TBL88" s="123"/>
      <c r="TBM88" s="123"/>
      <c r="TBN88" s="123"/>
      <c r="TBO88" s="123"/>
      <c r="TBP88" s="123"/>
      <c r="TBQ88" s="123"/>
      <c r="TBR88" s="123"/>
      <c r="TBS88" s="123"/>
      <c r="TBT88" s="123"/>
      <c r="TBU88" s="123"/>
      <c r="TBV88" s="123"/>
      <c r="TBW88" s="123"/>
      <c r="TBX88" s="123"/>
      <c r="TBY88" s="123"/>
      <c r="TBZ88" s="123"/>
      <c r="TCA88" s="123"/>
      <c r="TCB88" s="123"/>
      <c r="TCC88" s="123"/>
      <c r="TCD88" s="123"/>
      <c r="TCE88" s="123"/>
      <c r="TCF88" s="123"/>
      <c r="TCG88" s="123"/>
      <c r="TCH88" s="123"/>
      <c r="TCI88" s="123"/>
      <c r="TCJ88" s="123"/>
      <c r="TCK88" s="123"/>
      <c r="TCL88" s="123"/>
      <c r="TCM88" s="123"/>
      <c r="TCN88" s="123"/>
      <c r="TCO88" s="123"/>
      <c r="TCP88" s="123"/>
      <c r="TCQ88" s="123"/>
      <c r="TCR88" s="123"/>
      <c r="TCS88" s="123"/>
      <c r="TCT88" s="123"/>
      <c r="TCU88" s="123"/>
      <c r="TCV88" s="123"/>
      <c r="TCW88" s="123"/>
      <c r="TCX88" s="123"/>
      <c r="TCY88" s="123"/>
      <c r="TCZ88" s="123"/>
      <c r="TDA88" s="123"/>
      <c r="TDB88" s="123"/>
      <c r="TDC88" s="123"/>
      <c r="TDD88" s="123"/>
      <c r="TDE88" s="123"/>
      <c r="TDF88" s="123"/>
      <c r="TDG88" s="123"/>
      <c r="TDH88" s="123"/>
      <c r="TDI88" s="123"/>
      <c r="TDJ88" s="123"/>
      <c r="TDK88" s="123"/>
      <c r="TDL88" s="123"/>
      <c r="TDM88" s="123"/>
      <c r="TDN88" s="123"/>
      <c r="TDO88" s="123"/>
      <c r="TDP88" s="123"/>
      <c r="TDQ88" s="123"/>
      <c r="TDR88" s="123"/>
      <c r="TDS88" s="123"/>
      <c r="TDT88" s="123"/>
      <c r="TDU88" s="123"/>
      <c r="TDV88" s="123"/>
      <c r="TDW88" s="123"/>
      <c r="TDX88" s="123"/>
      <c r="TDY88" s="123"/>
      <c r="TDZ88" s="123"/>
      <c r="TEA88" s="123"/>
      <c r="TEB88" s="123"/>
      <c r="TEC88" s="123"/>
      <c r="TED88" s="123"/>
      <c r="TEE88" s="123"/>
      <c r="TEF88" s="123"/>
      <c r="TEG88" s="123"/>
      <c r="TEH88" s="123"/>
      <c r="TEI88" s="123"/>
      <c r="TEJ88" s="123"/>
      <c r="TEK88" s="123"/>
      <c r="TEL88" s="123"/>
      <c r="TEM88" s="123"/>
      <c r="TEN88" s="123"/>
      <c r="TEO88" s="123"/>
      <c r="TEP88" s="123"/>
      <c r="TEQ88" s="123"/>
      <c r="TER88" s="123"/>
      <c r="TES88" s="123"/>
      <c r="TET88" s="123"/>
      <c r="TEU88" s="123"/>
      <c r="TEV88" s="123"/>
      <c r="TEW88" s="123"/>
      <c r="TEX88" s="123"/>
      <c r="TEY88" s="123"/>
      <c r="TEZ88" s="123"/>
      <c r="TFA88" s="123"/>
      <c r="TFB88" s="123"/>
      <c r="TFC88" s="123"/>
      <c r="TFD88" s="123"/>
      <c r="TFE88" s="123"/>
      <c r="TFF88" s="123"/>
      <c r="TFG88" s="123"/>
      <c r="TFH88" s="123"/>
      <c r="TFI88" s="123"/>
      <c r="TFJ88" s="123"/>
      <c r="TFK88" s="123"/>
      <c r="TFL88" s="123"/>
      <c r="TFM88" s="123"/>
      <c r="TFN88" s="123"/>
      <c r="TFO88" s="123"/>
      <c r="TFP88" s="123"/>
      <c r="TFQ88" s="123"/>
      <c r="TFR88" s="123"/>
      <c r="TFS88" s="123"/>
      <c r="TFT88" s="123"/>
      <c r="TFU88" s="123"/>
      <c r="TFV88" s="123"/>
      <c r="TFW88" s="123"/>
      <c r="TFX88" s="123"/>
      <c r="TFY88" s="123"/>
      <c r="TFZ88" s="123"/>
      <c r="TGA88" s="123"/>
      <c r="TGB88" s="123"/>
      <c r="TGC88" s="123"/>
      <c r="TGD88" s="123"/>
      <c r="TGE88" s="123"/>
      <c r="TGF88" s="123"/>
      <c r="TGG88" s="123"/>
      <c r="TGH88" s="123"/>
      <c r="TGI88" s="123"/>
      <c r="TGJ88" s="123"/>
      <c r="TGK88" s="123"/>
      <c r="TGL88" s="123"/>
      <c r="TGM88" s="123"/>
      <c r="TGN88" s="123"/>
      <c r="TGO88" s="123"/>
      <c r="TGP88" s="123"/>
      <c r="TGQ88" s="123"/>
      <c r="TGR88" s="123"/>
      <c r="TGS88" s="123"/>
      <c r="TGT88" s="123"/>
      <c r="TGU88" s="123"/>
      <c r="TGV88" s="123"/>
      <c r="TGW88" s="123"/>
      <c r="TGX88" s="123"/>
      <c r="TGY88" s="123"/>
      <c r="TGZ88" s="123"/>
      <c r="THA88" s="123"/>
      <c r="THB88" s="123"/>
      <c r="THC88" s="123"/>
      <c r="THD88" s="123"/>
      <c r="THE88" s="123"/>
      <c r="THF88" s="123"/>
      <c r="THG88" s="123"/>
      <c r="THH88" s="123"/>
      <c r="THI88" s="123"/>
      <c r="THJ88" s="123"/>
      <c r="THK88" s="123"/>
      <c r="THL88" s="123"/>
      <c r="THM88" s="123"/>
      <c r="THN88" s="123"/>
      <c r="THO88" s="123"/>
      <c r="THP88" s="123"/>
      <c r="THQ88" s="123"/>
      <c r="THR88" s="123"/>
      <c r="THS88" s="123"/>
      <c r="THT88" s="123"/>
      <c r="THU88" s="123"/>
      <c r="THV88" s="123"/>
      <c r="THW88" s="123"/>
      <c r="THX88" s="123"/>
      <c r="THY88" s="123"/>
      <c r="THZ88" s="123"/>
      <c r="TIA88" s="123"/>
      <c r="TIB88" s="123"/>
      <c r="TIC88" s="123"/>
      <c r="TID88" s="123"/>
      <c r="TIE88" s="123"/>
      <c r="TIF88" s="123"/>
      <c r="TIG88" s="123"/>
      <c r="TIH88" s="123"/>
      <c r="TII88" s="123"/>
      <c r="TIJ88" s="123"/>
      <c r="TIK88" s="123"/>
      <c r="TIL88" s="123"/>
      <c r="TIM88" s="123"/>
      <c r="TIN88" s="123"/>
      <c r="TIO88" s="123"/>
      <c r="TIP88" s="123"/>
      <c r="TIQ88" s="123"/>
      <c r="TIR88" s="123"/>
      <c r="TIS88" s="123"/>
      <c r="TIT88" s="123"/>
      <c r="TIU88" s="123"/>
      <c r="TIV88" s="123"/>
      <c r="TIW88" s="123"/>
      <c r="TIX88" s="123"/>
      <c r="TIY88" s="123"/>
      <c r="TIZ88" s="123"/>
      <c r="TJA88" s="123"/>
      <c r="TJB88" s="123"/>
      <c r="TJC88" s="123"/>
      <c r="TJD88" s="123"/>
      <c r="TJE88" s="123"/>
      <c r="TJF88" s="123"/>
      <c r="TJG88" s="123"/>
      <c r="TJH88" s="123"/>
      <c r="TJI88" s="123"/>
      <c r="TJJ88" s="123"/>
      <c r="TJK88" s="123"/>
      <c r="TJL88" s="123"/>
      <c r="TJM88" s="123"/>
      <c r="TJN88" s="123"/>
      <c r="TJO88" s="123"/>
      <c r="TJP88" s="123"/>
      <c r="TJQ88" s="123"/>
      <c r="TJR88" s="123"/>
      <c r="TJS88" s="123"/>
      <c r="TJT88" s="123"/>
      <c r="TJU88" s="123"/>
      <c r="TJV88" s="123"/>
      <c r="TJW88" s="123"/>
      <c r="TJX88" s="123"/>
      <c r="TJY88" s="123"/>
      <c r="TJZ88" s="123"/>
      <c r="TKA88" s="123"/>
      <c r="TKB88" s="123"/>
      <c r="TKC88" s="123"/>
      <c r="TKD88" s="123"/>
      <c r="TKE88" s="123"/>
      <c r="TKF88" s="123"/>
      <c r="TKG88" s="123"/>
      <c r="TKH88" s="123"/>
      <c r="TKI88" s="123"/>
      <c r="TKJ88" s="123"/>
      <c r="TKK88" s="123"/>
      <c r="TKL88" s="123"/>
      <c r="TKM88" s="123"/>
      <c r="TKN88" s="123"/>
      <c r="TKO88" s="123"/>
      <c r="TKP88" s="123"/>
      <c r="TKQ88" s="123"/>
      <c r="TKR88" s="123"/>
      <c r="TKS88" s="123"/>
      <c r="TKT88" s="123"/>
      <c r="TKU88" s="123"/>
      <c r="TKV88" s="123"/>
      <c r="TKW88" s="123"/>
      <c r="TKX88" s="123"/>
      <c r="TKY88" s="123"/>
      <c r="TKZ88" s="123"/>
      <c r="TLA88" s="123"/>
      <c r="TLB88" s="123"/>
      <c r="TLC88" s="123"/>
      <c r="TLD88" s="123"/>
      <c r="TLE88" s="123"/>
      <c r="TLF88" s="123"/>
      <c r="TLG88" s="123"/>
      <c r="TLH88" s="123"/>
      <c r="TLI88" s="123"/>
      <c r="TLJ88" s="123"/>
      <c r="TLK88" s="123"/>
      <c r="TLL88" s="123"/>
      <c r="TLM88" s="123"/>
      <c r="TLN88" s="123"/>
      <c r="TLO88" s="123"/>
      <c r="TLP88" s="123"/>
      <c r="TLQ88" s="123"/>
      <c r="TLR88" s="123"/>
      <c r="TLS88" s="123"/>
      <c r="TLT88" s="123"/>
      <c r="TLU88" s="123"/>
      <c r="TLV88" s="123"/>
      <c r="TLW88" s="123"/>
      <c r="TLX88" s="123"/>
      <c r="TLY88" s="123"/>
      <c r="TLZ88" s="123"/>
      <c r="TMA88" s="123"/>
      <c r="TMB88" s="123"/>
      <c r="TMC88" s="123"/>
      <c r="TMD88" s="123"/>
      <c r="TME88" s="123"/>
      <c r="TMF88" s="123"/>
      <c r="TMG88" s="123"/>
      <c r="TMH88" s="123"/>
      <c r="TMI88" s="123"/>
      <c r="TMJ88" s="123"/>
      <c r="TMK88" s="123"/>
      <c r="TML88" s="123"/>
      <c r="TMM88" s="123"/>
      <c r="TMN88" s="123"/>
      <c r="TMO88" s="123"/>
      <c r="TMP88" s="123"/>
      <c r="TMQ88" s="123"/>
      <c r="TMR88" s="123"/>
      <c r="TMS88" s="123"/>
      <c r="TMT88" s="123"/>
      <c r="TMU88" s="123"/>
      <c r="TMV88" s="123"/>
      <c r="TMW88" s="123"/>
      <c r="TMX88" s="123"/>
      <c r="TMY88" s="123"/>
      <c r="TMZ88" s="123"/>
      <c r="TNA88" s="123"/>
      <c r="TNB88" s="123"/>
      <c r="TNC88" s="123"/>
      <c r="TND88" s="123"/>
      <c r="TNE88" s="123"/>
      <c r="TNF88" s="123"/>
      <c r="TNG88" s="123"/>
      <c r="TNH88" s="123"/>
      <c r="TNI88" s="123"/>
      <c r="TNJ88" s="123"/>
      <c r="TNK88" s="123"/>
      <c r="TNL88" s="123"/>
      <c r="TNM88" s="123"/>
      <c r="TNN88" s="123"/>
      <c r="TNO88" s="123"/>
      <c r="TNP88" s="123"/>
      <c r="TNQ88" s="123"/>
      <c r="TNR88" s="123"/>
      <c r="TNS88" s="123"/>
      <c r="TNT88" s="123"/>
      <c r="TNU88" s="123"/>
      <c r="TNV88" s="123"/>
      <c r="TNW88" s="123"/>
      <c r="TNX88" s="123"/>
      <c r="TNY88" s="123"/>
      <c r="TNZ88" s="123"/>
      <c r="TOA88" s="123"/>
      <c r="TOB88" s="123"/>
      <c r="TOC88" s="123"/>
      <c r="TOD88" s="123"/>
      <c r="TOE88" s="123"/>
      <c r="TOF88" s="123"/>
      <c r="TOG88" s="123"/>
      <c r="TOH88" s="123"/>
      <c r="TOI88" s="123"/>
      <c r="TOJ88" s="123"/>
      <c r="TOK88" s="123"/>
      <c r="TOL88" s="123"/>
      <c r="TOM88" s="123"/>
      <c r="TON88" s="123"/>
      <c r="TOO88" s="123"/>
      <c r="TOP88" s="123"/>
      <c r="TOQ88" s="123"/>
      <c r="TOR88" s="123"/>
      <c r="TOS88" s="123"/>
      <c r="TOT88" s="123"/>
      <c r="TOU88" s="123"/>
      <c r="TOV88" s="123"/>
      <c r="TOW88" s="123"/>
      <c r="TOX88" s="123"/>
      <c r="TOY88" s="123"/>
      <c r="TOZ88" s="123"/>
      <c r="TPA88" s="123"/>
      <c r="TPB88" s="123"/>
      <c r="TPC88" s="123"/>
      <c r="TPD88" s="123"/>
      <c r="TPE88" s="123"/>
      <c r="TPF88" s="123"/>
      <c r="TPG88" s="123"/>
      <c r="TPH88" s="123"/>
      <c r="TPI88" s="123"/>
      <c r="TPJ88" s="123"/>
      <c r="TPK88" s="123"/>
      <c r="TPL88" s="123"/>
      <c r="TPM88" s="123"/>
      <c r="TPN88" s="123"/>
      <c r="TPO88" s="123"/>
      <c r="TPP88" s="123"/>
      <c r="TPQ88" s="123"/>
      <c r="TPR88" s="123"/>
      <c r="TPS88" s="123"/>
      <c r="TPT88" s="123"/>
      <c r="TPU88" s="123"/>
      <c r="TPV88" s="123"/>
      <c r="TPW88" s="123"/>
      <c r="TPX88" s="123"/>
      <c r="TPY88" s="123"/>
      <c r="TPZ88" s="123"/>
      <c r="TQA88" s="123"/>
      <c r="TQB88" s="123"/>
      <c r="TQC88" s="123"/>
      <c r="TQD88" s="123"/>
      <c r="TQE88" s="123"/>
      <c r="TQF88" s="123"/>
      <c r="TQG88" s="123"/>
      <c r="TQH88" s="123"/>
      <c r="TQI88" s="123"/>
      <c r="TQJ88" s="123"/>
      <c r="TQK88" s="123"/>
      <c r="TQL88" s="123"/>
      <c r="TQM88" s="123"/>
      <c r="TQN88" s="123"/>
      <c r="TQO88" s="123"/>
      <c r="TQP88" s="123"/>
      <c r="TQQ88" s="123"/>
      <c r="TQR88" s="123"/>
      <c r="TQS88" s="123"/>
      <c r="TQT88" s="123"/>
      <c r="TQU88" s="123"/>
      <c r="TQV88" s="123"/>
      <c r="TQW88" s="123"/>
      <c r="TQX88" s="123"/>
      <c r="TQY88" s="123"/>
      <c r="TQZ88" s="123"/>
      <c r="TRA88" s="123"/>
      <c r="TRB88" s="123"/>
      <c r="TRC88" s="123"/>
      <c r="TRD88" s="123"/>
      <c r="TRE88" s="123"/>
      <c r="TRF88" s="123"/>
      <c r="TRG88" s="123"/>
      <c r="TRH88" s="123"/>
      <c r="TRI88" s="123"/>
      <c r="TRJ88" s="123"/>
      <c r="TRK88" s="123"/>
      <c r="TRL88" s="123"/>
      <c r="TRM88" s="123"/>
      <c r="TRN88" s="123"/>
      <c r="TRO88" s="123"/>
      <c r="TRP88" s="123"/>
      <c r="TRQ88" s="123"/>
      <c r="TRR88" s="123"/>
      <c r="TRS88" s="123"/>
      <c r="TRT88" s="123"/>
      <c r="TRU88" s="123"/>
      <c r="TRV88" s="123"/>
      <c r="TRW88" s="123"/>
      <c r="TRX88" s="123"/>
      <c r="TRY88" s="123"/>
      <c r="TRZ88" s="123"/>
      <c r="TSA88" s="123"/>
      <c r="TSB88" s="123"/>
      <c r="TSC88" s="123"/>
      <c r="TSD88" s="123"/>
      <c r="TSE88" s="123"/>
      <c r="TSF88" s="123"/>
      <c r="TSG88" s="123"/>
      <c r="TSH88" s="123"/>
      <c r="TSI88" s="123"/>
      <c r="TSJ88" s="123"/>
      <c r="TSK88" s="123"/>
      <c r="TSL88" s="123"/>
      <c r="TSM88" s="123"/>
      <c r="TSN88" s="123"/>
      <c r="TSO88" s="123"/>
      <c r="TSP88" s="123"/>
      <c r="TSQ88" s="123"/>
      <c r="TSR88" s="123"/>
      <c r="TSS88" s="123"/>
      <c r="TST88" s="123"/>
      <c r="TSU88" s="123"/>
      <c r="TSV88" s="123"/>
      <c r="TSW88" s="123"/>
      <c r="TSX88" s="123"/>
      <c r="TSY88" s="123"/>
      <c r="TSZ88" s="123"/>
      <c r="TTA88" s="123"/>
      <c r="TTB88" s="123"/>
      <c r="TTC88" s="123"/>
      <c r="TTD88" s="123"/>
      <c r="TTE88" s="123"/>
      <c r="TTF88" s="123"/>
      <c r="TTG88" s="123"/>
      <c r="TTH88" s="123"/>
      <c r="TTI88" s="123"/>
      <c r="TTJ88" s="123"/>
      <c r="TTK88" s="123"/>
      <c r="TTL88" s="123"/>
      <c r="TTM88" s="123"/>
      <c r="TTN88" s="123"/>
      <c r="TTO88" s="123"/>
      <c r="TTP88" s="123"/>
      <c r="TTQ88" s="123"/>
      <c r="TTR88" s="123"/>
      <c r="TTS88" s="123"/>
      <c r="TTT88" s="123"/>
      <c r="TTU88" s="123"/>
      <c r="TTV88" s="123"/>
      <c r="TTW88" s="123"/>
      <c r="TTX88" s="123"/>
      <c r="TTY88" s="123"/>
      <c r="TTZ88" s="123"/>
      <c r="TUA88" s="123"/>
      <c r="TUB88" s="123"/>
      <c r="TUC88" s="123"/>
      <c r="TUD88" s="123"/>
      <c r="TUE88" s="123"/>
      <c r="TUF88" s="123"/>
      <c r="TUG88" s="123"/>
      <c r="TUH88" s="123"/>
      <c r="TUI88" s="123"/>
      <c r="TUJ88" s="123"/>
      <c r="TUK88" s="123"/>
      <c r="TUL88" s="123"/>
      <c r="TUM88" s="123"/>
      <c r="TUN88" s="123"/>
      <c r="TUO88" s="123"/>
      <c r="TUP88" s="123"/>
      <c r="TUQ88" s="123"/>
      <c r="TUR88" s="123"/>
      <c r="TUS88" s="123"/>
      <c r="TUT88" s="123"/>
      <c r="TUU88" s="123"/>
      <c r="TUV88" s="123"/>
      <c r="TUW88" s="123"/>
      <c r="TUX88" s="123"/>
      <c r="TUY88" s="123"/>
      <c r="TUZ88" s="123"/>
      <c r="TVA88" s="123"/>
      <c r="TVB88" s="123"/>
      <c r="TVC88" s="123"/>
      <c r="TVD88" s="123"/>
      <c r="TVE88" s="123"/>
      <c r="TVF88" s="123"/>
      <c r="TVG88" s="123"/>
      <c r="TVH88" s="123"/>
      <c r="TVI88" s="123"/>
      <c r="TVJ88" s="123"/>
      <c r="TVK88" s="123"/>
      <c r="TVL88" s="123"/>
      <c r="TVM88" s="123"/>
      <c r="TVN88" s="123"/>
      <c r="TVO88" s="123"/>
      <c r="TVP88" s="123"/>
      <c r="TVQ88" s="123"/>
      <c r="TVR88" s="123"/>
      <c r="TVS88" s="123"/>
      <c r="TVT88" s="123"/>
      <c r="TVU88" s="123"/>
      <c r="TVV88" s="123"/>
      <c r="TVW88" s="123"/>
      <c r="TVX88" s="123"/>
      <c r="TVY88" s="123"/>
      <c r="TVZ88" s="123"/>
      <c r="TWA88" s="123"/>
      <c r="TWB88" s="123"/>
      <c r="TWC88" s="123"/>
      <c r="TWD88" s="123"/>
      <c r="TWE88" s="123"/>
      <c r="TWF88" s="123"/>
      <c r="TWG88" s="123"/>
      <c r="TWH88" s="123"/>
      <c r="TWI88" s="123"/>
      <c r="TWJ88" s="123"/>
      <c r="TWK88" s="123"/>
      <c r="TWL88" s="123"/>
      <c r="TWM88" s="123"/>
      <c r="TWN88" s="123"/>
      <c r="TWO88" s="123"/>
      <c r="TWP88" s="123"/>
      <c r="TWQ88" s="123"/>
      <c r="TWR88" s="123"/>
      <c r="TWS88" s="123"/>
      <c r="TWT88" s="123"/>
      <c r="TWU88" s="123"/>
      <c r="TWV88" s="123"/>
      <c r="TWW88" s="123"/>
      <c r="TWX88" s="123"/>
      <c r="TWY88" s="123"/>
      <c r="TWZ88" s="123"/>
      <c r="TXA88" s="123"/>
      <c r="TXB88" s="123"/>
      <c r="TXC88" s="123"/>
      <c r="TXD88" s="123"/>
      <c r="TXE88" s="123"/>
      <c r="TXF88" s="123"/>
      <c r="TXG88" s="123"/>
      <c r="TXH88" s="123"/>
      <c r="TXI88" s="123"/>
      <c r="TXJ88" s="123"/>
      <c r="TXK88" s="123"/>
      <c r="TXL88" s="123"/>
      <c r="TXM88" s="123"/>
      <c r="TXN88" s="123"/>
      <c r="TXO88" s="123"/>
      <c r="TXP88" s="123"/>
      <c r="TXQ88" s="123"/>
      <c r="TXR88" s="123"/>
      <c r="TXS88" s="123"/>
      <c r="TXT88" s="123"/>
      <c r="TXU88" s="123"/>
      <c r="TXV88" s="123"/>
      <c r="TXW88" s="123"/>
      <c r="TXX88" s="123"/>
      <c r="TXY88" s="123"/>
      <c r="TXZ88" s="123"/>
      <c r="TYA88" s="123"/>
      <c r="TYB88" s="123"/>
      <c r="TYC88" s="123"/>
      <c r="TYD88" s="123"/>
      <c r="TYE88" s="123"/>
      <c r="TYF88" s="123"/>
      <c r="TYG88" s="123"/>
      <c r="TYH88" s="123"/>
      <c r="TYI88" s="123"/>
      <c r="TYJ88" s="123"/>
      <c r="TYK88" s="123"/>
      <c r="TYL88" s="123"/>
      <c r="TYM88" s="123"/>
      <c r="TYN88" s="123"/>
      <c r="TYO88" s="123"/>
      <c r="TYP88" s="123"/>
      <c r="TYQ88" s="123"/>
      <c r="TYR88" s="123"/>
      <c r="TYS88" s="123"/>
      <c r="TYT88" s="123"/>
      <c r="TYU88" s="123"/>
      <c r="TYV88" s="123"/>
      <c r="TYW88" s="123"/>
      <c r="TYX88" s="123"/>
      <c r="TYY88" s="123"/>
      <c r="TYZ88" s="123"/>
      <c r="TZA88" s="123"/>
      <c r="TZB88" s="123"/>
      <c r="TZC88" s="123"/>
      <c r="TZD88" s="123"/>
      <c r="TZE88" s="123"/>
      <c r="TZF88" s="123"/>
      <c r="TZG88" s="123"/>
      <c r="TZH88" s="123"/>
      <c r="TZI88" s="123"/>
      <c r="TZJ88" s="123"/>
      <c r="TZK88" s="123"/>
      <c r="TZL88" s="123"/>
      <c r="TZM88" s="123"/>
      <c r="TZN88" s="123"/>
      <c r="TZO88" s="123"/>
      <c r="TZP88" s="123"/>
      <c r="TZQ88" s="123"/>
      <c r="TZR88" s="123"/>
      <c r="TZS88" s="123"/>
      <c r="TZT88" s="123"/>
      <c r="TZU88" s="123"/>
      <c r="TZV88" s="123"/>
      <c r="TZW88" s="123"/>
      <c r="TZX88" s="123"/>
      <c r="TZY88" s="123"/>
      <c r="TZZ88" s="123"/>
      <c r="UAA88" s="123"/>
      <c r="UAB88" s="123"/>
      <c r="UAC88" s="123"/>
      <c r="UAD88" s="123"/>
      <c r="UAE88" s="123"/>
      <c r="UAF88" s="123"/>
      <c r="UAG88" s="123"/>
      <c r="UAH88" s="123"/>
      <c r="UAI88" s="123"/>
      <c r="UAJ88" s="123"/>
      <c r="UAK88" s="123"/>
      <c r="UAL88" s="123"/>
      <c r="UAM88" s="123"/>
      <c r="UAN88" s="123"/>
      <c r="UAO88" s="123"/>
      <c r="UAP88" s="123"/>
      <c r="UAQ88" s="123"/>
      <c r="UAR88" s="123"/>
      <c r="UAS88" s="123"/>
      <c r="UAT88" s="123"/>
      <c r="UAU88" s="123"/>
      <c r="UAV88" s="123"/>
      <c r="UAW88" s="123"/>
      <c r="UAX88" s="123"/>
      <c r="UAY88" s="123"/>
      <c r="UAZ88" s="123"/>
      <c r="UBA88" s="123"/>
      <c r="UBB88" s="123"/>
      <c r="UBC88" s="123"/>
      <c r="UBD88" s="123"/>
      <c r="UBE88" s="123"/>
      <c r="UBF88" s="123"/>
      <c r="UBG88" s="123"/>
      <c r="UBH88" s="123"/>
      <c r="UBI88" s="123"/>
      <c r="UBJ88" s="123"/>
      <c r="UBK88" s="123"/>
      <c r="UBL88" s="123"/>
      <c r="UBM88" s="123"/>
      <c r="UBN88" s="123"/>
      <c r="UBO88" s="123"/>
      <c r="UBP88" s="123"/>
      <c r="UBQ88" s="123"/>
      <c r="UBR88" s="123"/>
      <c r="UBS88" s="123"/>
      <c r="UBT88" s="123"/>
      <c r="UBU88" s="123"/>
      <c r="UBV88" s="123"/>
      <c r="UBW88" s="123"/>
      <c r="UBX88" s="123"/>
      <c r="UBY88" s="123"/>
      <c r="UBZ88" s="123"/>
      <c r="UCA88" s="123"/>
      <c r="UCB88" s="123"/>
      <c r="UCC88" s="123"/>
      <c r="UCD88" s="123"/>
      <c r="UCE88" s="123"/>
      <c r="UCF88" s="123"/>
      <c r="UCG88" s="123"/>
      <c r="UCH88" s="123"/>
      <c r="UCI88" s="123"/>
      <c r="UCJ88" s="123"/>
      <c r="UCK88" s="123"/>
      <c r="UCL88" s="123"/>
      <c r="UCM88" s="123"/>
      <c r="UCN88" s="123"/>
      <c r="UCO88" s="123"/>
      <c r="UCP88" s="123"/>
      <c r="UCQ88" s="123"/>
      <c r="UCR88" s="123"/>
      <c r="UCS88" s="123"/>
      <c r="UCT88" s="123"/>
      <c r="UCU88" s="123"/>
      <c r="UCV88" s="123"/>
      <c r="UCW88" s="123"/>
      <c r="UCX88" s="123"/>
      <c r="UCY88" s="123"/>
      <c r="UCZ88" s="123"/>
      <c r="UDA88" s="123"/>
      <c r="UDB88" s="123"/>
      <c r="UDC88" s="123"/>
      <c r="UDD88" s="123"/>
      <c r="UDE88" s="123"/>
      <c r="UDF88" s="123"/>
      <c r="UDG88" s="123"/>
      <c r="UDH88" s="123"/>
      <c r="UDI88" s="123"/>
      <c r="UDJ88" s="123"/>
      <c r="UDK88" s="123"/>
      <c r="UDL88" s="123"/>
      <c r="UDM88" s="123"/>
      <c r="UDN88" s="123"/>
      <c r="UDO88" s="123"/>
      <c r="UDP88" s="123"/>
      <c r="UDQ88" s="123"/>
      <c r="UDR88" s="123"/>
      <c r="UDS88" s="123"/>
      <c r="UDT88" s="123"/>
      <c r="UDU88" s="123"/>
      <c r="UDV88" s="123"/>
      <c r="UDW88" s="123"/>
      <c r="UDX88" s="123"/>
      <c r="UDY88" s="123"/>
      <c r="UDZ88" s="123"/>
      <c r="UEA88" s="123"/>
      <c r="UEB88" s="123"/>
      <c r="UEC88" s="123"/>
      <c r="UED88" s="123"/>
      <c r="UEE88" s="123"/>
      <c r="UEF88" s="123"/>
      <c r="UEG88" s="123"/>
      <c r="UEH88" s="123"/>
      <c r="UEI88" s="123"/>
      <c r="UEJ88" s="123"/>
      <c r="UEK88" s="123"/>
      <c r="UEL88" s="123"/>
      <c r="UEM88" s="123"/>
      <c r="UEN88" s="123"/>
      <c r="UEO88" s="123"/>
      <c r="UEP88" s="123"/>
      <c r="UEQ88" s="123"/>
      <c r="UER88" s="123"/>
      <c r="UES88" s="123"/>
      <c r="UET88" s="123"/>
      <c r="UEU88" s="123"/>
      <c r="UEV88" s="123"/>
      <c r="UEW88" s="123"/>
      <c r="UEX88" s="123"/>
      <c r="UEY88" s="123"/>
      <c r="UEZ88" s="123"/>
      <c r="UFA88" s="123"/>
      <c r="UFB88" s="123"/>
      <c r="UFC88" s="123"/>
      <c r="UFD88" s="123"/>
      <c r="UFE88" s="123"/>
      <c r="UFF88" s="123"/>
      <c r="UFG88" s="123"/>
      <c r="UFH88" s="123"/>
      <c r="UFI88" s="123"/>
      <c r="UFJ88" s="123"/>
      <c r="UFK88" s="123"/>
      <c r="UFL88" s="123"/>
      <c r="UFM88" s="123"/>
      <c r="UFN88" s="123"/>
      <c r="UFO88" s="123"/>
      <c r="UFP88" s="123"/>
      <c r="UFQ88" s="123"/>
      <c r="UFR88" s="123"/>
      <c r="UFS88" s="123"/>
      <c r="UFT88" s="123"/>
      <c r="UFU88" s="123"/>
      <c r="UFV88" s="123"/>
      <c r="UFW88" s="123"/>
      <c r="UFX88" s="123"/>
      <c r="UFY88" s="123"/>
      <c r="UFZ88" s="123"/>
      <c r="UGA88" s="123"/>
      <c r="UGB88" s="123"/>
      <c r="UGC88" s="123"/>
      <c r="UGD88" s="123"/>
      <c r="UGE88" s="123"/>
      <c r="UGF88" s="123"/>
      <c r="UGG88" s="123"/>
      <c r="UGH88" s="123"/>
      <c r="UGI88" s="123"/>
      <c r="UGJ88" s="123"/>
      <c r="UGK88" s="123"/>
      <c r="UGL88" s="123"/>
      <c r="UGM88" s="123"/>
      <c r="UGN88" s="123"/>
      <c r="UGO88" s="123"/>
      <c r="UGP88" s="123"/>
      <c r="UGQ88" s="123"/>
      <c r="UGR88" s="123"/>
      <c r="UGS88" s="123"/>
      <c r="UGT88" s="123"/>
      <c r="UGU88" s="123"/>
      <c r="UGV88" s="123"/>
      <c r="UGW88" s="123"/>
      <c r="UGX88" s="123"/>
      <c r="UGY88" s="123"/>
      <c r="UGZ88" s="123"/>
      <c r="UHA88" s="123"/>
      <c r="UHB88" s="123"/>
      <c r="UHC88" s="123"/>
      <c r="UHD88" s="123"/>
      <c r="UHE88" s="123"/>
      <c r="UHF88" s="123"/>
      <c r="UHG88" s="123"/>
      <c r="UHH88" s="123"/>
      <c r="UHI88" s="123"/>
      <c r="UHJ88" s="123"/>
      <c r="UHK88" s="123"/>
      <c r="UHL88" s="123"/>
      <c r="UHM88" s="123"/>
      <c r="UHN88" s="123"/>
      <c r="UHO88" s="123"/>
      <c r="UHP88" s="123"/>
      <c r="UHQ88" s="123"/>
      <c r="UHR88" s="123"/>
      <c r="UHS88" s="123"/>
      <c r="UHT88" s="123"/>
      <c r="UHU88" s="123"/>
      <c r="UHV88" s="123"/>
      <c r="UHW88" s="123"/>
      <c r="UHX88" s="123"/>
      <c r="UHY88" s="123"/>
      <c r="UHZ88" s="123"/>
      <c r="UIA88" s="123"/>
      <c r="UIB88" s="123"/>
      <c r="UIC88" s="123"/>
      <c r="UID88" s="123"/>
      <c r="UIE88" s="123"/>
      <c r="UIF88" s="123"/>
      <c r="UIG88" s="123"/>
      <c r="UIH88" s="123"/>
      <c r="UII88" s="123"/>
      <c r="UIJ88" s="123"/>
      <c r="UIK88" s="123"/>
      <c r="UIL88" s="123"/>
      <c r="UIM88" s="123"/>
      <c r="UIN88" s="123"/>
      <c r="UIO88" s="123"/>
      <c r="UIP88" s="123"/>
      <c r="UIQ88" s="123"/>
      <c r="UIR88" s="123"/>
      <c r="UIS88" s="123"/>
      <c r="UIT88" s="123"/>
      <c r="UIU88" s="123"/>
      <c r="UIV88" s="123"/>
      <c r="UIW88" s="123"/>
      <c r="UIX88" s="123"/>
      <c r="UIY88" s="123"/>
      <c r="UIZ88" s="123"/>
      <c r="UJA88" s="123"/>
      <c r="UJB88" s="123"/>
      <c r="UJC88" s="123"/>
      <c r="UJD88" s="123"/>
      <c r="UJE88" s="123"/>
      <c r="UJF88" s="123"/>
      <c r="UJG88" s="123"/>
      <c r="UJH88" s="123"/>
      <c r="UJI88" s="123"/>
      <c r="UJJ88" s="123"/>
      <c r="UJK88" s="123"/>
      <c r="UJL88" s="123"/>
      <c r="UJM88" s="123"/>
      <c r="UJN88" s="123"/>
      <c r="UJO88" s="123"/>
      <c r="UJP88" s="123"/>
      <c r="UJQ88" s="123"/>
      <c r="UJR88" s="123"/>
      <c r="UJS88" s="123"/>
      <c r="UJT88" s="123"/>
      <c r="UJU88" s="123"/>
      <c r="UJV88" s="123"/>
      <c r="UJW88" s="123"/>
      <c r="UJX88" s="123"/>
      <c r="UJY88" s="123"/>
      <c r="UJZ88" s="123"/>
      <c r="UKA88" s="123"/>
      <c r="UKB88" s="123"/>
      <c r="UKC88" s="123"/>
      <c r="UKD88" s="123"/>
      <c r="UKE88" s="123"/>
      <c r="UKF88" s="123"/>
      <c r="UKG88" s="123"/>
      <c r="UKH88" s="123"/>
      <c r="UKI88" s="123"/>
      <c r="UKJ88" s="123"/>
      <c r="UKK88" s="123"/>
      <c r="UKL88" s="123"/>
      <c r="UKM88" s="123"/>
      <c r="UKN88" s="123"/>
      <c r="UKO88" s="123"/>
      <c r="UKP88" s="123"/>
      <c r="UKQ88" s="123"/>
      <c r="UKR88" s="123"/>
      <c r="UKS88" s="123"/>
      <c r="UKT88" s="123"/>
      <c r="UKU88" s="123"/>
      <c r="UKV88" s="123"/>
      <c r="UKW88" s="123"/>
      <c r="UKX88" s="123"/>
      <c r="UKY88" s="123"/>
      <c r="UKZ88" s="123"/>
      <c r="ULA88" s="123"/>
      <c r="ULB88" s="123"/>
      <c r="ULC88" s="123"/>
      <c r="ULD88" s="123"/>
      <c r="ULE88" s="123"/>
      <c r="ULF88" s="123"/>
      <c r="ULG88" s="123"/>
      <c r="ULH88" s="123"/>
      <c r="ULI88" s="123"/>
      <c r="ULJ88" s="123"/>
      <c r="ULK88" s="123"/>
      <c r="ULL88" s="123"/>
      <c r="ULM88" s="123"/>
      <c r="ULN88" s="123"/>
      <c r="ULO88" s="123"/>
      <c r="ULP88" s="123"/>
      <c r="ULQ88" s="123"/>
      <c r="ULR88" s="123"/>
      <c r="ULS88" s="123"/>
      <c r="ULT88" s="123"/>
      <c r="ULU88" s="123"/>
      <c r="ULV88" s="123"/>
      <c r="ULW88" s="123"/>
      <c r="ULX88" s="123"/>
      <c r="ULY88" s="123"/>
      <c r="ULZ88" s="123"/>
      <c r="UMA88" s="123"/>
      <c r="UMB88" s="123"/>
      <c r="UMC88" s="123"/>
      <c r="UMD88" s="123"/>
      <c r="UME88" s="123"/>
      <c r="UMF88" s="123"/>
      <c r="UMG88" s="123"/>
      <c r="UMH88" s="123"/>
      <c r="UMI88" s="123"/>
      <c r="UMJ88" s="123"/>
      <c r="UMK88" s="123"/>
      <c r="UML88" s="123"/>
      <c r="UMM88" s="123"/>
      <c r="UMN88" s="123"/>
      <c r="UMO88" s="123"/>
      <c r="UMP88" s="123"/>
      <c r="UMQ88" s="123"/>
      <c r="UMR88" s="123"/>
      <c r="UMS88" s="123"/>
      <c r="UMT88" s="123"/>
      <c r="UMU88" s="123"/>
      <c r="UMV88" s="123"/>
      <c r="UMW88" s="123"/>
      <c r="UMX88" s="123"/>
      <c r="UMY88" s="123"/>
      <c r="UMZ88" s="123"/>
      <c r="UNA88" s="123"/>
      <c r="UNB88" s="123"/>
      <c r="UNC88" s="123"/>
      <c r="UND88" s="123"/>
      <c r="UNE88" s="123"/>
      <c r="UNF88" s="123"/>
      <c r="UNG88" s="123"/>
      <c r="UNH88" s="123"/>
      <c r="UNI88" s="123"/>
      <c r="UNJ88" s="123"/>
      <c r="UNK88" s="123"/>
      <c r="UNL88" s="123"/>
      <c r="UNM88" s="123"/>
      <c r="UNN88" s="123"/>
      <c r="UNO88" s="123"/>
      <c r="UNP88" s="123"/>
      <c r="UNQ88" s="123"/>
      <c r="UNR88" s="123"/>
      <c r="UNS88" s="123"/>
      <c r="UNT88" s="123"/>
      <c r="UNU88" s="123"/>
      <c r="UNV88" s="123"/>
      <c r="UNW88" s="123"/>
      <c r="UNX88" s="123"/>
      <c r="UNY88" s="123"/>
      <c r="UNZ88" s="123"/>
      <c r="UOA88" s="123"/>
      <c r="UOB88" s="123"/>
      <c r="UOC88" s="123"/>
      <c r="UOD88" s="123"/>
      <c r="UOE88" s="123"/>
      <c r="UOF88" s="123"/>
      <c r="UOG88" s="123"/>
      <c r="UOH88" s="123"/>
      <c r="UOI88" s="123"/>
      <c r="UOJ88" s="123"/>
      <c r="UOK88" s="123"/>
      <c r="UOL88" s="123"/>
      <c r="UOM88" s="123"/>
      <c r="UON88" s="123"/>
      <c r="UOO88" s="123"/>
      <c r="UOP88" s="123"/>
      <c r="UOQ88" s="123"/>
      <c r="UOR88" s="123"/>
      <c r="UOS88" s="123"/>
      <c r="UOT88" s="123"/>
      <c r="UOU88" s="123"/>
      <c r="UOV88" s="123"/>
      <c r="UOW88" s="123"/>
      <c r="UOX88" s="123"/>
      <c r="UOY88" s="123"/>
      <c r="UOZ88" s="123"/>
      <c r="UPA88" s="123"/>
      <c r="UPB88" s="123"/>
      <c r="UPC88" s="123"/>
      <c r="UPD88" s="123"/>
      <c r="UPE88" s="123"/>
      <c r="UPF88" s="123"/>
      <c r="UPG88" s="123"/>
      <c r="UPH88" s="123"/>
      <c r="UPI88" s="123"/>
      <c r="UPJ88" s="123"/>
      <c r="UPK88" s="123"/>
      <c r="UPL88" s="123"/>
      <c r="UPM88" s="123"/>
      <c r="UPN88" s="123"/>
      <c r="UPO88" s="123"/>
      <c r="UPP88" s="123"/>
      <c r="UPQ88" s="123"/>
      <c r="UPR88" s="123"/>
      <c r="UPS88" s="123"/>
      <c r="UPT88" s="123"/>
      <c r="UPU88" s="123"/>
      <c r="UPV88" s="123"/>
      <c r="UPW88" s="123"/>
      <c r="UPX88" s="123"/>
      <c r="UPY88" s="123"/>
      <c r="UPZ88" s="123"/>
      <c r="UQA88" s="123"/>
      <c r="UQB88" s="123"/>
      <c r="UQC88" s="123"/>
      <c r="UQD88" s="123"/>
      <c r="UQE88" s="123"/>
      <c r="UQF88" s="123"/>
      <c r="UQG88" s="123"/>
      <c r="UQH88" s="123"/>
      <c r="UQI88" s="123"/>
      <c r="UQJ88" s="123"/>
      <c r="UQK88" s="123"/>
      <c r="UQL88" s="123"/>
      <c r="UQM88" s="123"/>
      <c r="UQN88" s="123"/>
      <c r="UQO88" s="123"/>
      <c r="UQP88" s="123"/>
      <c r="UQQ88" s="123"/>
      <c r="UQR88" s="123"/>
      <c r="UQS88" s="123"/>
      <c r="UQT88" s="123"/>
      <c r="UQU88" s="123"/>
      <c r="UQV88" s="123"/>
      <c r="UQW88" s="123"/>
      <c r="UQX88" s="123"/>
      <c r="UQY88" s="123"/>
      <c r="UQZ88" s="123"/>
      <c r="URA88" s="123"/>
      <c r="URB88" s="123"/>
      <c r="URC88" s="123"/>
      <c r="URD88" s="123"/>
      <c r="URE88" s="123"/>
      <c r="URF88" s="123"/>
      <c r="URG88" s="123"/>
      <c r="URH88" s="123"/>
      <c r="URI88" s="123"/>
      <c r="URJ88" s="123"/>
      <c r="URK88" s="123"/>
      <c r="URL88" s="123"/>
      <c r="URM88" s="123"/>
      <c r="URN88" s="123"/>
      <c r="URO88" s="123"/>
      <c r="URP88" s="123"/>
      <c r="URQ88" s="123"/>
      <c r="URR88" s="123"/>
      <c r="URS88" s="123"/>
      <c r="URT88" s="123"/>
      <c r="URU88" s="123"/>
      <c r="URV88" s="123"/>
      <c r="URW88" s="123"/>
      <c r="URX88" s="123"/>
      <c r="URY88" s="123"/>
      <c r="URZ88" s="123"/>
      <c r="USA88" s="123"/>
      <c r="USB88" s="123"/>
      <c r="USC88" s="123"/>
      <c r="USD88" s="123"/>
      <c r="USE88" s="123"/>
      <c r="USF88" s="123"/>
      <c r="USG88" s="123"/>
      <c r="USH88" s="123"/>
      <c r="USI88" s="123"/>
      <c r="USJ88" s="123"/>
      <c r="USK88" s="123"/>
      <c r="USL88" s="123"/>
      <c r="USM88" s="123"/>
      <c r="USN88" s="123"/>
      <c r="USO88" s="123"/>
      <c r="USP88" s="123"/>
      <c r="USQ88" s="123"/>
      <c r="USR88" s="123"/>
      <c r="USS88" s="123"/>
      <c r="UST88" s="123"/>
      <c r="USU88" s="123"/>
      <c r="USV88" s="123"/>
      <c r="USW88" s="123"/>
      <c r="USX88" s="123"/>
      <c r="USY88" s="123"/>
      <c r="USZ88" s="123"/>
      <c r="UTA88" s="123"/>
      <c r="UTB88" s="123"/>
      <c r="UTC88" s="123"/>
      <c r="UTD88" s="123"/>
      <c r="UTE88" s="123"/>
      <c r="UTF88" s="123"/>
      <c r="UTG88" s="123"/>
      <c r="UTH88" s="123"/>
      <c r="UTI88" s="123"/>
      <c r="UTJ88" s="123"/>
      <c r="UTK88" s="123"/>
      <c r="UTL88" s="123"/>
      <c r="UTM88" s="123"/>
      <c r="UTN88" s="123"/>
      <c r="UTO88" s="123"/>
      <c r="UTP88" s="123"/>
      <c r="UTQ88" s="123"/>
      <c r="UTR88" s="123"/>
      <c r="UTS88" s="123"/>
      <c r="UTT88" s="123"/>
      <c r="UTU88" s="123"/>
      <c r="UTV88" s="123"/>
      <c r="UTW88" s="123"/>
      <c r="UTX88" s="123"/>
      <c r="UTY88" s="123"/>
      <c r="UTZ88" s="123"/>
      <c r="UUA88" s="123"/>
      <c r="UUB88" s="123"/>
      <c r="UUC88" s="123"/>
      <c r="UUD88" s="123"/>
      <c r="UUE88" s="123"/>
      <c r="UUF88" s="123"/>
      <c r="UUG88" s="123"/>
      <c r="UUH88" s="123"/>
      <c r="UUI88" s="123"/>
      <c r="UUJ88" s="123"/>
      <c r="UUK88" s="123"/>
      <c r="UUL88" s="123"/>
      <c r="UUM88" s="123"/>
      <c r="UUN88" s="123"/>
      <c r="UUO88" s="123"/>
      <c r="UUP88" s="123"/>
      <c r="UUQ88" s="123"/>
      <c r="UUR88" s="123"/>
      <c r="UUS88" s="123"/>
      <c r="UUT88" s="123"/>
      <c r="UUU88" s="123"/>
      <c r="UUV88" s="123"/>
      <c r="UUW88" s="123"/>
      <c r="UUX88" s="123"/>
      <c r="UUY88" s="123"/>
      <c r="UUZ88" s="123"/>
      <c r="UVA88" s="123"/>
      <c r="UVB88" s="123"/>
      <c r="UVC88" s="123"/>
      <c r="UVD88" s="123"/>
      <c r="UVE88" s="123"/>
      <c r="UVF88" s="123"/>
      <c r="UVG88" s="123"/>
      <c r="UVH88" s="123"/>
      <c r="UVI88" s="123"/>
      <c r="UVJ88" s="123"/>
      <c r="UVK88" s="123"/>
      <c r="UVL88" s="123"/>
      <c r="UVM88" s="123"/>
      <c r="UVN88" s="123"/>
      <c r="UVO88" s="123"/>
      <c r="UVP88" s="123"/>
      <c r="UVQ88" s="123"/>
      <c r="UVR88" s="123"/>
      <c r="UVS88" s="123"/>
      <c r="UVT88" s="123"/>
      <c r="UVU88" s="123"/>
      <c r="UVV88" s="123"/>
      <c r="UVW88" s="123"/>
      <c r="UVX88" s="123"/>
      <c r="UVY88" s="123"/>
      <c r="UVZ88" s="123"/>
      <c r="UWA88" s="123"/>
      <c r="UWB88" s="123"/>
      <c r="UWC88" s="123"/>
      <c r="UWD88" s="123"/>
      <c r="UWE88" s="123"/>
      <c r="UWF88" s="123"/>
      <c r="UWG88" s="123"/>
      <c r="UWH88" s="123"/>
      <c r="UWI88" s="123"/>
      <c r="UWJ88" s="123"/>
      <c r="UWK88" s="123"/>
      <c r="UWL88" s="123"/>
      <c r="UWM88" s="123"/>
      <c r="UWN88" s="123"/>
      <c r="UWO88" s="123"/>
      <c r="UWP88" s="123"/>
      <c r="UWQ88" s="123"/>
      <c r="UWR88" s="123"/>
      <c r="UWS88" s="123"/>
      <c r="UWT88" s="123"/>
      <c r="UWU88" s="123"/>
      <c r="UWV88" s="123"/>
      <c r="UWW88" s="123"/>
      <c r="UWX88" s="123"/>
      <c r="UWY88" s="123"/>
      <c r="UWZ88" s="123"/>
      <c r="UXA88" s="123"/>
      <c r="UXB88" s="123"/>
      <c r="UXC88" s="123"/>
      <c r="UXD88" s="123"/>
      <c r="UXE88" s="123"/>
      <c r="UXF88" s="123"/>
      <c r="UXG88" s="123"/>
      <c r="UXH88" s="123"/>
      <c r="UXI88" s="123"/>
      <c r="UXJ88" s="123"/>
      <c r="UXK88" s="123"/>
      <c r="UXL88" s="123"/>
      <c r="UXM88" s="123"/>
      <c r="UXN88" s="123"/>
      <c r="UXO88" s="123"/>
      <c r="UXP88" s="123"/>
      <c r="UXQ88" s="123"/>
      <c r="UXR88" s="123"/>
      <c r="UXS88" s="123"/>
      <c r="UXT88" s="123"/>
      <c r="UXU88" s="123"/>
      <c r="UXV88" s="123"/>
      <c r="UXW88" s="123"/>
      <c r="UXX88" s="123"/>
      <c r="UXY88" s="123"/>
      <c r="UXZ88" s="123"/>
      <c r="UYA88" s="123"/>
      <c r="UYB88" s="123"/>
      <c r="UYC88" s="123"/>
      <c r="UYD88" s="123"/>
      <c r="UYE88" s="123"/>
      <c r="UYF88" s="123"/>
      <c r="UYG88" s="123"/>
      <c r="UYH88" s="123"/>
      <c r="UYI88" s="123"/>
      <c r="UYJ88" s="123"/>
      <c r="UYK88" s="123"/>
      <c r="UYL88" s="123"/>
      <c r="UYM88" s="123"/>
      <c r="UYN88" s="123"/>
      <c r="UYO88" s="123"/>
      <c r="UYP88" s="123"/>
      <c r="UYQ88" s="123"/>
      <c r="UYR88" s="123"/>
      <c r="UYS88" s="123"/>
      <c r="UYT88" s="123"/>
      <c r="UYU88" s="123"/>
      <c r="UYV88" s="123"/>
      <c r="UYW88" s="123"/>
      <c r="UYX88" s="123"/>
      <c r="UYY88" s="123"/>
      <c r="UYZ88" s="123"/>
      <c r="UZA88" s="123"/>
      <c r="UZB88" s="123"/>
      <c r="UZC88" s="123"/>
      <c r="UZD88" s="123"/>
      <c r="UZE88" s="123"/>
      <c r="UZF88" s="123"/>
      <c r="UZG88" s="123"/>
      <c r="UZH88" s="123"/>
      <c r="UZI88" s="123"/>
      <c r="UZJ88" s="123"/>
      <c r="UZK88" s="123"/>
      <c r="UZL88" s="123"/>
      <c r="UZM88" s="123"/>
      <c r="UZN88" s="123"/>
      <c r="UZO88" s="123"/>
      <c r="UZP88" s="123"/>
      <c r="UZQ88" s="123"/>
      <c r="UZR88" s="123"/>
      <c r="UZS88" s="123"/>
      <c r="UZT88" s="123"/>
      <c r="UZU88" s="123"/>
      <c r="UZV88" s="123"/>
      <c r="UZW88" s="123"/>
      <c r="UZX88" s="123"/>
      <c r="UZY88" s="123"/>
      <c r="UZZ88" s="123"/>
      <c r="VAA88" s="123"/>
      <c r="VAB88" s="123"/>
      <c r="VAC88" s="123"/>
      <c r="VAD88" s="123"/>
      <c r="VAE88" s="123"/>
      <c r="VAF88" s="123"/>
      <c r="VAG88" s="123"/>
      <c r="VAH88" s="123"/>
      <c r="VAI88" s="123"/>
      <c r="VAJ88" s="123"/>
      <c r="VAK88" s="123"/>
      <c r="VAL88" s="123"/>
      <c r="VAM88" s="123"/>
      <c r="VAN88" s="123"/>
      <c r="VAO88" s="123"/>
      <c r="VAP88" s="123"/>
      <c r="VAQ88" s="123"/>
      <c r="VAR88" s="123"/>
      <c r="VAS88" s="123"/>
      <c r="VAT88" s="123"/>
      <c r="VAU88" s="123"/>
      <c r="VAV88" s="123"/>
      <c r="VAW88" s="123"/>
      <c r="VAX88" s="123"/>
      <c r="VAY88" s="123"/>
      <c r="VAZ88" s="123"/>
      <c r="VBA88" s="123"/>
      <c r="VBB88" s="123"/>
      <c r="VBC88" s="123"/>
      <c r="VBD88" s="123"/>
      <c r="VBE88" s="123"/>
      <c r="VBF88" s="123"/>
      <c r="VBG88" s="123"/>
      <c r="VBH88" s="123"/>
      <c r="VBI88" s="123"/>
      <c r="VBJ88" s="123"/>
      <c r="VBK88" s="123"/>
      <c r="VBL88" s="123"/>
      <c r="VBM88" s="123"/>
      <c r="VBN88" s="123"/>
      <c r="VBO88" s="123"/>
      <c r="VBP88" s="123"/>
      <c r="VBQ88" s="123"/>
      <c r="VBR88" s="123"/>
      <c r="VBS88" s="123"/>
      <c r="VBT88" s="123"/>
      <c r="VBU88" s="123"/>
      <c r="VBV88" s="123"/>
      <c r="VBW88" s="123"/>
      <c r="VBX88" s="123"/>
      <c r="VBY88" s="123"/>
      <c r="VBZ88" s="123"/>
      <c r="VCA88" s="123"/>
      <c r="VCB88" s="123"/>
      <c r="VCC88" s="123"/>
      <c r="VCD88" s="123"/>
      <c r="VCE88" s="123"/>
      <c r="VCF88" s="123"/>
      <c r="VCG88" s="123"/>
      <c r="VCH88" s="123"/>
      <c r="VCI88" s="123"/>
      <c r="VCJ88" s="123"/>
      <c r="VCK88" s="123"/>
      <c r="VCL88" s="123"/>
      <c r="VCM88" s="123"/>
      <c r="VCN88" s="123"/>
      <c r="VCO88" s="123"/>
      <c r="VCP88" s="123"/>
      <c r="VCQ88" s="123"/>
      <c r="VCR88" s="123"/>
      <c r="VCS88" s="123"/>
      <c r="VCT88" s="123"/>
      <c r="VCU88" s="123"/>
      <c r="VCV88" s="123"/>
      <c r="VCW88" s="123"/>
      <c r="VCX88" s="123"/>
      <c r="VCY88" s="123"/>
      <c r="VCZ88" s="123"/>
      <c r="VDA88" s="123"/>
      <c r="VDB88" s="123"/>
      <c r="VDC88" s="123"/>
      <c r="VDD88" s="123"/>
      <c r="VDE88" s="123"/>
      <c r="VDF88" s="123"/>
      <c r="VDG88" s="123"/>
      <c r="VDH88" s="123"/>
      <c r="VDI88" s="123"/>
      <c r="VDJ88" s="123"/>
      <c r="VDK88" s="123"/>
      <c r="VDL88" s="123"/>
      <c r="VDM88" s="123"/>
      <c r="VDN88" s="123"/>
      <c r="VDO88" s="123"/>
      <c r="VDP88" s="123"/>
      <c r="VDQ88" s="123"/>
      <c r="VDR88" s="123"/>
      <c r="VDS88" s="123"/>
      <c r="VDT88" s="123"/>
      <c r="VDU88" s="123"/>
      <c r="VDV88" s="123"/>
      <c r="VDW88" s="123"/>
      <c r="VDX88" s="123"/>
      <c r="VDY88" s="123"/>
      <c r="VDZ88" s="123"/>
      <c r="VEA88" s="123"/>
      <c r="VEB88" s="123"/>
      <c r="VEC88" s="123"/>
      <c r="VED88" s="123"/>
      <c r="VEE88" s="123"/>
      <c r="VEF88" s="123"/>
      <c r="VEG88" s="123"/>
      <c r="VEH88" s="123"/>
      <c r="VEI88" s="123"/>
      <c r="VEJ88" s="123"/>
      <c r="VEK88" s="123"/>
      <c r="VEL88" s="123"/>
      <c r="VEM88" s="123"/>
      <c r="VEN88" s="123"/>
      <c r="VEO88" s="123"/>
      <c r="VEP88" s="123"/>
      <c r="VEQ88" s="123"/>
      <c r="VER88" s="123"/>
      <c r="VES88" s="123"/>
      <c r="VET88" s="123"/>
      <c r="VEU88" s="123"/>
      <c r="VEV88" s="123"/>
      <c r="VEW88" s="123"/>
      <c r="VEX88" s="123"/>
      <c r="VEY88" s="123"/>
      <c r="VEZ88" s="123"/>
      <c r="VFA88" s="123"/>
      <c r="VFB88" s="123"/>
      <c r="VFC88" s="123"/>
      <c r="VFD88" s="123"/>
      <c r="VFE88" s="123"/>
      <c r="VFF88" s="123"/>
      <c r="VFG88" s="123"/>
      <c r="VFH88" s="123"/>
      <c r="VFI88" s="123"/>
      <c r="VFJ88" s="123"/>
      <c r="VFK88" s="123"/>
      <c r="VFL88" s="123"/>
      <c r="VFM88" s="123"/>
      <c r="VFN88" s="123"/>
      <c r="VFO88" s="123"/>
      <c r="VFP88" s="123"/>
      <c r="VFQ88" s="123"/>
      <c r="VFR88" s="123"/>
      <c r="VFS88" s="123"/>
      <c r="VFT88" s="123"/>
      <c r="VFU88" s="123"/>
      <c r="VFV88" s="123"/>
      <c r="VFW88" s="123"/>
      <c r="VFX88" s="123"/>
      <c r="VFY88" s="123"/>
      <c r="VFZ88" s="123"/>
      <c r="VGA88" s="123"/>
      <c r="VGB88" s="123"/>
      <c r="VGC88" s="123"/>
      <c r="VGD88" s="123"/>
      <c r="VGE88" s="123"/>
      <c r="VGF88" s="123"/>
      <c r="VGG88" s="123"/>
      <c r="VGH88" s="123"/>
      <c r="VGI88" s="123"/>
      <c r="VGJ88" s="123"/>
      <c r="VGK88" s="123"/>
      <c r="VGL88" s="123"/>
      <c r="VGM88" s="123"/>
      <c r="VGN88" s="123"/>
      <c r="VGO88" s="123"/>
      <c r="VGP88" s="123"/>
      <c r="VGQ88" s="123"/>
      <c r="VGR88" s="123"/>
      <c r="VGS88" s="123"/>
      <c r="VGT88" s="123"/>
      <c r="VGU88" s="123"/>
      <c r="VGV88" s="123"/>
      <c r="VGW88" s="123"/>
      <c r="VGX88" s="123"/>
      <c r="VGY88" s="123"/>
      <c r="VGZ88" s="123"/>
      <c r="VHA88" s="123"/>
      <c r="VHB88" s="123"/>
      <c r="VHC88" s="123"/>
      <c r="VHD88" s="123"/>
      <c r="VHE88" s="123"/>
      <c r="VHF88" s="123"/>
      <c r="VHG88" s="123"/>
      <c r="VHH88" s="123"/>
      <c r="VHI88" s="123"/>
      <c r="VHJ88" s="123"/>
      <c r="VHK88" s="123"/>
      <c r="VHL88" s="123"/>
      <c r="VHM88" s="123"/>
      <c r="VHN88" s="123"/>
      <c r="VHO88" s="123"/>
      <c r="VHP88" s="123"/>
      <c r="VHQ88" s="123"/>
      <c r="VHR88" s="123"/>
      <c r="VHS88" s="123"/>
      <c r="VHT88" s="123"/>
      <c r="VHU88" s="123"/>
      <c r="VHV88" s="123"/>
      <c r="VHW88" s="123"/>
      <c r="VHX88" s="123"/>
      <c r="VHY88" s="123"/>
      <c r="VHZ88" s="123"/>
      <c r="VIA88" s="123"/>
      <c r="VIB88" s="123"/>
      <c r="VIC88" s="123"/>
      <c r="VID88" s="123"/>
      <c r="VIE88" s="123"/>
      <c r="VIF88" s="123"/>
      <c r="VIG88" s="123"/>
      <c r="VIH88" s="123"/>
      <c r="VII88" s="123"/>
      <c r="VIJ88" s="123"/>
      <c r="VIK88" s="123"/>
      <c r="VIL88" s="123"/>
      <c r="VIM88" s="123"/>
      <c r="VIN88" s="123"/>
      <c r="VIO88" s="123"/>
      <c r="VIP88" s="123"/>
      <c r="VIQ88" s="123"/>
      <c r="VIR88" s="123"/>
      <c r="VIS88" s="123"/>
      <c r="VIT88" s="123"/>
      <c r="VIU88" s="123"/>
      <c r="VIV88" s="123"/>
      <c r="VIW88" s="123"/>
      <c r="VIX88" s="123"/>
      <c r="VIY88" s="123"/>
      <c r="VIZ88" s="123"/>
      <c r="VJA88" s="123"/>
      <c r="VJB88" s="123"/>
      <c r="VJC88" s="123"/>
      <c r="VJD88" s="123"/>
      <c r="VJE88" s="123"/>
      <c r="VJF88" s="123"/>
      <c r="VJG88" s="123"/>
      <c r="VJH88" s="123"/>
      <c r="VJI88" s="123"/>
      <c r="VJJ88" s="123"/>
      <c r="VJK88" s="123"/>
      <c r="VJL88" s="123"/>
      <c r="VJM88" s="123"/>
      <c r="VJN88" s="123"/>
      <c r="VJO88" s="123"/>
      <c r="VJP88" s="123"/>
      <c r="VJQ88" s="123"/>
      <c r="VJR88" s="123"/>
      <c r="VJS88" s="123"/>
      <c r="VJT88" s="123"/>
      <c r="VJU88" s="123"/>
      <c r="VJV88" s="123"/>
      <c r="VJW88" s="123"/>
      <c r="VJX88" s="123"/>
      <c r="VJY88" s="123"/>
      <c r="VJZ88" s="123"/>
      <c r="VKA88" s="123"/>
      <c r="VKB88" s="123"/>
      <c r="VKC88" s="123"/>
      <c r="VKD88" s="123"/>
      <c r="VKE88" s="123"/>
      <c r="VKF88" s="123"/>
      <c r="VKG88" s="123"/>
      <c r="VKH88" s="123"/>
      <c r="VKI88" s="123"/>
      <c r="VKJ88" s="123"/>
      <c r="VKK88" s="123"/>
      <c r="VKL88" s="123"/>
      <c r="VKM88" s="123"/>
      <c r="VKN88" s="123"/>
      <c r="VKO88" s="123"/>
      <c r="VKP88" s="123"/>
      <c r="VKQ88" s="123"/>
      <c r="VKR88" s="123"/>
      <c r="VKS88" s="123"/>
      <c r="VKT88" s="123"/>
      <c r="VKU88" s="123"/>
      <c r="VKV88" s="123"/>
      <c r="VKW88" s="123"/>
      <c r="VKX88" s="123"/>
      <c r="VKY88" s="123"/>
      <c r="VKZ88" s="123"/>
      <c r="VLA88" s="123"/>
      <c r="VLB88" s="123"/>
      <c r="VLC88" s="123"/>
      <c r="VLD88" s="123"/>
      <c r="VLE88" s="123"/>
      <c r="VLF88" s="123"/>
      <c r="VLG88" s="123"/>
      <c r="VLH88" s="123"/>
      <c r="VLI88" s="123"/>
      <c r="VLJ88" s="123"/>
      <c r="VLK88" s="123"/>
      <c r="VLL88" s="123"/>
      <c r="VLM88" s="123"/>
      <c r="VLN88" s="123"/>
      <c r="VLO88" s="123"/>
      <c r="VLP88" s="123"/>
      <c r="VLQ88" s="123"/>
      <c r="VLR88" s="123"/>
      <c r="VLS88" s="123"/>
      <c r="VLT88" s="123"/>
      <c r="VLU88" s="123"/>
      <c r="VLV88" s="123"/>
      <c r="VLW88" s="123"/>
      <c r="VLX88" s="123"/>
      <c r="VLY88" s="123"/>
      <c r="VLZ88" s="123"/>
      <c r="VMA88" s="123"/>
      <c r="VMB88" s="123"/>
      <c r="VMC88" s="123"/>
      <c r="VMD88" s="123"/>
      <c r="VME88" s="123"/>
      <c r="VMF88" s="123"/>
      <c r="VMG88" s="123"/>
      <c r="VMH88" s="123"/>
      <c r="VMI88" s="123"/>
      <c r="VMJ88" s="123"/>
      <c r="VMK88" s="123"/>
      <c r="VML88" s="123"/>
      <c r="VMM88" s="123"/>
      <c r="VMN88" s="123"/>
      <c r="VMO88" s="123"/>
      <c r="VMP88" s="123"/>
      <c r="VMQ88" s="123"/>
      <c r="VMR88" s="123"/>
      <c r="VMS88" s="123"/>
      <c r="VMT88" s="123"/>
      <c r="VMU88" s="123"/>
      <c r="VMV88" s="123"/>
      <c r="VMW88" s="123"/>
      <c r="VMX88" s="123"/>
      <c r="VMY88" s="123"/>
      <c r="VMZ88" s="123"/>
      <c r="VNA88" s="123"/>
      <c r="VNB88" s="123"/>
      <c r="VNC88" s="123"/>
      <c r="VND88" s="123"/>
      <c r="VNE88" s="123"/>
      <c r="VNF88" s="123"/>
      <c r="VNG88" s="123"/>
      <c r="VNH88" s="123"/>
      <c r="VNI88" s="123"/>
      <c r="VNJ88" s="123"/>
      <c r="VNK88" s="123"/>
      <c r="VNL88" s="123"/>
      <c r="VNM88" s="123"/>
      <c r="VNN88" s="123"/>
      <c r="VNO88" s="123"/>
      <c r="VNP88" s="123"/>
      <c r="VNQ88" s="123"/>
      <c r="VNR88" s="123"/>
      <c r="VNS88" s="123"/>
      <c r="VNT88" s="123"/>
      <c r="VNU88" s="123"/>
      <c r="VNV88" s="123"/>
      <c r="VNW88" s="123"/>
      <c r="VNX88" s="123"/>
      <c r="VNY88" s="123"/>
      <c r="VNZ88" s="123"/>
      <c r="VOA88" s="123"/>
      <c r="VOB88" s="123"/>
      <c r="VOC88" s="123"/>
      <c r="VOD88" s="123"/>
      <c r="VOE88" s="123"/>
      <c r="VOF88" s="123"/>
      <c r="VOG88" s="123"/>
      <c r="VOH88" s="123"/>
      <c r="VOI88" s="123"/>
      <c r="VOJ88" s="123"/>
      <c r="VOK88" s="123"/>
      <c r="VOL88" s="123"/>
      <c r="VOM88" s="123"/>
      <c r="VON88" s="123"/>
      <c r="VOO88" s="123"/>
      <c r="VOP88" s="123"/>
      <c r="VOQ88" s="123"/>
      <c r="VOR88" s="123"/>
      <c r="VOS88" s="123"/>
      <c r="VOT88" s="123"/>
      <c r="VOU88" s="123"/>
      <c r="VOV88" s="123"/>
      <c r="VOW88" s="123"/>
      <c r="VOX88" s="123"/>
      <c r="VOY88" s="123"/>
      <c r="VOZ88" s="123"/>
      <c r="VPA88" s="123"/>
      <c r="VPB88" s="123"/>
      <c r="VPC88" s="123"/>
      <c r="VPD88" s="123"/>
      <c r="VPE88" s="123"/>
      <c r="VPF88" s="123"/>
      <c r="VPG88" s="123"/>
      <c r="VPH88" s="123"/>
      <c r="VPI88" s="123"/>
      <c r="VPJ88" s="123"/>
      <c r="VPK88" s="123"/>
      <c r="VPL88" s="123"/>
      <c r="VPM88" s="123"/>
      <c r="VPN88" s="123"/>
      <c r="VPO88" s="123"/>
      <c r="VPP88" s="123"/>
      <c r="VPQ88" s="123"/>
      <c r="VPR88" s="123"/>
      <c r="VPS88" s="123"/>
      <c r="VPT88" s="123"/>
      <c r="VPU88" s="123"/>
      <c r="VPV88" s="123"/>
      <c r="VPW88" s="123"/>
      <c r="VPX88" s="123"/>
      <c r="VPY88" s="123"/>
      <c r="VPZ88" s="123"/>
      <c r="VQA88" s="123"/>
      <c r="VQB88" s="123"/>
      <c r="VQC88" s="123"/>
      <c r="VQD88" s="123"/>
      <c r="VQE88" s="123"/>
      <c r="VQF88" s="123"/>
      <c r="VQG88" s="123"/>
      <c r="VQH88" s="123"/>
      <c r="VQI88" s="123"/>
      <c r="VQJ88" s="123"/>
      <c r="VQK88" s="123"/>
      <c r="VQL88" s="123"/>
      <c r="VQM88" s="123"/>
      <c r="VQN88" s="123"/>
      <c r="VQO88" s="123"/>
      <c r="VQP88" s="123"/>
      <c r="VQQ88" s="123"/>
      <c r="VQR88" s="123"/>
      <c r="VQS88" s="123"/>
      <c r="VQT88" s="123"/>
      <c r="VQU88" s="123"/>
      <c r="VQV88" s="123"/>
      <c r="VQW88" s="123"/>
      <c r="VQX88" s="123"/>
      <c r="VQY88" s="123"/>
      <c r="VQZ88" s="123"/>
      <c r="VRA88" s="123"/>
      <c r="VRB88" s="123"/>
      <c r="VRC88" s="123"/>
      <c r="VRD88" s="123"/>
      <c r="VRE88" s="123"/>
      <c r="VRF88" s="123"/>
      <c r="VRG88" s="123"/>
      <c r="VRH88" s="123"/>
      <c r="VRI88" s="123"/>
      <c r="VRJ88" s="123"/>
      <c r="VRK88" s="123"/>
      <c r="VRL88" s="123"/>
      <c r="VRM88" s="123"/>
      <c r="VRN88" s="123"/>
      <c r="VRO88" s="123"/>
      <c r="VRP88" s="123"/>
      <c r="VRQ88" s="123"/>
      <c r="VRR88" s="123"/>
      <c r="VRS88" s="123"/>
      <c r="VRT88" s="123"/>
      <c r="VRU88" s="123"/>
      <c r="VRV88" s="123"/>
      <c r="VRW88" s="123"/>
      <c r="VRX88" s="123"/>
      <c r="VRY88" s="123"/>
      <c r="VRZ88" s="123"/>
      <c r="VSA88" s="123"/>
      <c r="VSB88" s="123"/>
      <c r="VSC88" s="123"/>
      <c r="VSD88" s="123"/>
      <c r="VSE88" s="123"/>
      <c r="VSF88" s="123"/>
      <c r="VSG88" s="123"/>
      <c r="VSH88" s="123"/>
      <c r="VSI88" s="123"/>
      <c r="VSJ88" s="123"/>
      <c r="VSK88" s="123"/>
      <c r="VSL88" s="123"/>
      <c r="VSM88" s="123"/>
      <c r="VSN88" s="123"/>
      <c r="VSO88" s="123"/>
      <c r="VSP88" s="123"/>
      <c r="VSQ88" s="123"/>
      <c r="VSR88" s="123"/>
      <c r="VSS88" s="123"/>
      <c r="VST88" s="123"/>
      <c r="VSU88" s="123"/>
      <c r="VSV88" s="123"/>
      <c r="VSW88" s="123"/>
      <c r="VSX88" s="123"/>
      <c r="VSY88" s="123"/>
      <c r="VSZ88" s="123"/>
      <c r="VTA88" s="123"/>
      <c r="VTB88" s="123"/>
      <c r="VTC88" s="123"/>
      <c r="VTD88" s="123"/>
      <c r="VTE88" s="123"/>
      <c r="VTF88" s="123"/>
      <c r="VTG88" s="123"/>
      <c r="VTH88" s="123"/>
      <c r="VTI88" s="123"/>
      <c r="VTJ88" s="123"/>
      <c r="VTK88" s="123"/>
      <c r="VTL88" s="123"/>
      <c r="VTM88" s="123"/>
      <c r="VTN88" s="123"/>
      <c r="VTO88" s="123"/>
      <c r="VTP88" s="123"/>
      <c r="VTQ88" s="123"/>
      <c r="VTR88" s="123"/>
      <c r="VTS88" s="123"/>
      <c r="VTT88" s="123"/>
      <c r="VTU88" s="123"/>
      <c r="VTV88" s="123"/>
      <c r="VTW88" s="123"/>
      <c r="VTX88" s="123"/>
      <c r="VTY88" s="123"/>
      <c r="VTZ88" s="123"/>
      <c r="VUA88" s="123"/>
      <c r="VUB88" s="123"/>
      <c r="VUC88" s="123"/>
      <c r="VUD88" s="123"/>
      <c r="VUE88" s="123"/>
      <c r="VUF88" s="123"/>
      <c r="VUG88" s="123"/>
      <c r="VUH88" s="123"/>
      <c r="VUI88" s="123"/>
      <c r="VUJ88" s="123"/>
      <c r="VUK88" s="123"/>
      <c r="VUL88" s="123"/>
      <c r="VUM88" s="123"/>
      <c r="VUN88" s="123"/>
      <c r="VUO88" s="123"/>
      <c r="VUP88" s="123"/>
      <c r="VUQ88" s="123"/>
      <c r="VUR88" s="123"/>
      <c r="VUS88" s="123"/>
      <c r="VUT88" s="123"/>
      <c r="VUU88" s="123"/>
      <c r="VUV88" s="123"/>
      <c r="VUW88" s="123"/>
      <c r="VUX88" s="123"/>
      <c r="VUY88" s="123"/>
      <c r="VUZ88" s="123"/>
      <c r="VVA88" s="123"/>
      <c r="VVB88" s="123"/>
      <c r="VVC88" s="123"/>
      <c r="VVD88" s="123"/>
      <c r="VVE88" s="123"/>
      <c r="VVF88" s="123"/>
      <c r="VVG88" s="123"/>
      <c r="VVH88" s="123"/>
      <c r="VVI88" s="123"/>
      <c r="VVJ88" s="123"/>
      <c r="VVK88" s="123"/>
      <c r="VVL88" s="123"/>
      <c r="VVM88" s="123"/>
      <c r="VVN88" s="123"/>
      <c r="VVO88" s="123"/>
      <c r="VVP88" s="123"/>
      <c r="VVQ88" s="123"/>
      <c r="VVR88" s="123"/>
      <c r="VVS88" s="123"/>
      <c r="VVT88" s="123"/>
      <c r="VVU88" s="123"/>
      <c r="VVV88" s="123"/>
      <c r="VVW88" s="123"/>
      <c r="VVX88" s="123"/>
      <c r="VVY88" s="123"/>
      <c r="VVZ88" s="123"/>
      <c r="VWA88" s="123"/>
      <c r="VWB88" s="123"/>
      <c r="VWC88" s="123"/>
      <c r="VWD88" s="123"/>
      <c r="VWE88" s="123"/>
      <c r="VWF88" s="123"/>
      <c r="VWG88" s="123"/>
      <c r="VWH88" s="123"/>
      <c r="VWI88" s="123"/>
      <c r="VWJ88" s="123"/>
      <c r="VWK88" s="123"/>
      <c r="VWL88" s="123"/>
      <c r="VWM88" s="123"/>
      <c r="VWN88" s="123"/>
      <c r="VWO88" s="123"/>
      <c r="VWP88" s="123"/>
      <c r="VWQ88" s="123"/>
      <c r="VWR88" s="123"/>
      <c r="VWS88" s="123"/>
      <c r="VWT88" s="123"/>
      <c r="VWU88" s="123"/>
      <c r="VWV88" s="123"/>
      <c r="VWW88" s="123"/>
      <c r="VWX88" s="123"/>
      <c r="VWY88" s="123"/>
      <c r="VWZ88" s="123"/>
      <c r="VXA88" s="123"/>
      <c r="VXB88" s="123"/>
      <c r="VXC88" s="123"/>
      <c r="VXD88" s="123"/>
      <c r="VXE88" s="123"/>
      <c r="VXF88" s="123"/>
      <c r="VXG88" s="123"/>
      <c r="VXH88" s="123"/>
      <c r="VXI88" s="123"/>
      <c r="VXJ88" s="123"/>
      <c r="VXK88" s="123"/>
      <c r="VXL88" s="123"/>
      <c r="VXM88" s="123"/>
      <c r="VXN88" s="123"/>
      <c r="VXO88" s="123"/>
      <c r="VXP88" s="123"/>
      <c r="VXQ88" s="123"/>
      <c r="VXR88" s="123"/>
      <c r="VXS88" s="123"/>
      <c r="VXT88" s="123"/>
      <c r="VXU88" s="123"/>
      <c r="VXV88" s="123"/>
      <c r="VXW88" s="123"/>
      <c r="VXX88" s="123"/>
      <c r="VXY88" s="123"/>
      <c r="VXZ88" s="123"/>
      <c r="VYA88" s="123"/>
      <c r="VYB88" s="123"/>
      <c r="VYC88" s="123"/>
      <c r="VYD88" s="123"/>
      <c r="VYE88" s="123"/>
      <c r="VYF88" s="123"/>
      <c r="VYG88" s="123"/>
      <c r="VYH88" s="123"/>
      <c r="VYI88" s="123"/>
      <c r="VYJ88" s="123"/>
      <c r="VYK88" s="123"/>
      <c r="VYL88" s="123"/>
      <c r="VYM88" s="123"/>
      <c r="VYN88" s="123"/>
      <c r="VYO88" s="123"/>
      <c r="VYP88" s="123"/>
      <c r="VYQ88" s="123"/>
      <c r="VYR88" s="123"/>
      <c r="VYS88" s="123"/>
      <c r="VYT88" s="123"/>
      <c r="VYU88" s="123"/>
      <c r="VYV88" s="123"/>
      <c r="VYW88" s="123"/>
      <c r="VYX88" s="123"/>
      <c r="VYY88" s="123"/>
      <c r="VYZ88" s="123"/>
      <c r="VZA88" s="123"/>
      <c r="VZB88" s="123"/>
      <c r="VZC88" s="123"/>
      <c r="VZD88" s="123"/>
      <c r="VZE88" s="123"/>
      <c r="VZF88" s="123"/>
      <c r="VZG88" s="123"/>
      <c r="VZH88" s="123"/>
      <c r="VZI88" s="123"/>
      <c r="VZJ88" s="123"/>
      <c r="VZK88" s="123"/>
      <c r="VZL88" s="123"/>
      <c r="VZM88" s="123"/>
      <c r="VZN88" s="123"/>
      <c r="VZO88" s="123"/>
      <c r="VZP88" s="123"/>
      <c r="VZQ88" s="123"/>
      <c r="VZR88" s="123"/>
      <c r="VZS88" s="123"/>
      <c r="VZT88" s="123"/>
      <c r="VZU88" s="123"/>
      <c r="VZV88" s="123"/>
      <c r="VZW88" s="123"/>
      <c r="VZX88" s="123"/>
      <c r="VZY88" s="123"/>
      <c r="VZZ88" s="123"/>
      <c r="WAA88" s="123"/>
      <c r="WAB88" s="123"/>
      <c r="WAC88" s="123"/>
      <c r="WAD88" s="123"/>
      <c r="WAE88" s="123"/>
      <c r="WAF88" s="123"/>
      <c r="WAG88" s="123"/>
      <c r="WAH88" s="123"/>
      <c r="WAI88" s="123"/>
      <c r="WAJ88" s="123"/>
      <c r="WAK88" s="123"/>
      <c r="WAL88" s="123"/>
      <c r="WAM88" s="123"/>
      <c r="WAN88" s="123"/>
      <c r="WAO88" s="123"/>
      <c r="WAP88" s="123"/>
      <c r="WAQ88" s="123"/>
      <c r="WAR88" s="123"/>
      <c r="WAS88" s="123"/>
      <c r="WAT88" s="123"/>
      <c r="WAU88" s="123"/>
      <c r="WAV88" s="123"/>
      <c r="WAW88" s="123"/>
      <c r="WAX88" s="123"/>
      <c r="WAY88" s="123"/>
      <c r="WAZ88" s="123"/>
      <c r="WBA88" s="123"/>
      <c r="WBB88" s="123"/>
      <c r="WBC88" s="123"/>
      <c r="WBD88" s="123"/>
      <c r="WBE88" s="123"/>
      <c r="WBF88" s="123"/>
      <c r="WBG88" s="123"/>
      <c r="WBH88" s="123"/>
      <c r="WBI88" s="123"/>
      <c r="WBJ88" s="123"/>
      <c r="WBK88" s="123"/>
      <c r="WBL88" s="123"/>
      <c r="WBM88" s="123"/>
      <c r="WBN88" s="123"/>
      <c r="WBO88" s="123"/>
      <c r="WBP88" s="123"/>
      <c r="WBQ88" s="123"/>
      <c r="WBR88" s="123"/>
      <c r="WBS88" s="123"/>
      <c r="WBT88" s="123"/>
      <c r="WBU88" s="123"/>
      <c r="WBV88" s="123"/>
      <c r="WBW88" s="123"/>
      <c r="WBX88" s="123"/>
      <c r="WBY88" s="123"/>
      <c r="WBZ88" s="123"/>
      <c r="WCA88" s="123"/>
      <c r="WCB88" s="123"/>
      <c r="WCC88" s="123"/>
      <c r="WCD88" s="123"/>
      <c r="WCE88" s="123"/>
      <c r="WCF88" s="123"/>
      <c r="WCG88" s="123"/>
      <c r="WCH88" s="123"/>
      <c r="WCI88" s="123"/>
      <c r="WCJ88" s="123"/>
      <c r="WCK88" s="123"/>
      <c r="WCL88" s="123"/>
      <c r="WCM88" s="123"/>
      <c r="WCN88" s="123"/>
      <c r="WCO88" s="123"/>
      <c r="WCP88" s="123"/>
      <c r="WCQ88" s="123"/>
      <c r="WCR88" s="123"/>
      <c r="WCS88" s="123"/>
      <c r="WCT88" s="123"/>
      <c r="WCU88" s="123"/>
      <c r="WCV88" s="123"/>
      <c r="WCW88" s="123"/>
      <c r="WCX88" s="123"/>
      <c r="WCY88" s="123"/>
      <c r="WCZ88" s="123"/>
      <c r="WDA88" s="123"/>
      <c r="WDB88" s="123"/>
      <c r="WDC88" s="123"/>
      <c r="WDD88" s="123"/>
      <c r="WDE88" s="123"/>
      <c r="WDF88" s="123"/>
      <c r="WDG88" s="123"/>
      <c r="WDH88" s="123"/>
      <c r="WDI88" s="123"/>
      <c r="WDJ88" s="123"/>
      <c r="WDK88" s="123"/>
      <c r="WDL88" s="123"/>
      <c r="WDM88" s="123"/>
      <c r="WDN88" s="123"/>
      <c r="WDO88" s="123"/>
      <c r="WDP88" s="123"/>
      <c r="WDQ88" s="123"/>
      <c r="WDR88" s="123"/>
      <c r="WDS88" s="123"/>
      <c r="WDT88" s="123"/>
      <c r="WDU88" s="123"/>
      <c r="WDV88" s="123"/>
      <c r="WDW88" s="123"/>
      <c r="WDX88" s="123"/>
      <c r="WDY88" s="123"/>
      <c r="WDZ88" s="123"/>
      <c r="WEA88" s="123"/>
      <c r="WEB88" s="123"/>
      <c r="WEC88" s="123"/>
      <c r="WED88" s="123"/>
      <c r="WEE88" s="123"/>
      <c r="WEF88" s="123"/>
      <c r="WEG88" s="123"/>
      <c r="WEH88" s="123"/>
      <c r="WEI88" s="123"/>
      <c r="WEJ88" s="123"/>
      <c r="WEK88" s="123"/>
      <c r="WEL88" s="123"/>
      <c r="WEM88" s="123"/>
      <c r="WEN88" s="123"/>
      <c r="WEO88" s="123"/>
      <c r="WEP88" s="123"/>
      <c r="WEQ88" s="123"/>
      <c r="WER88" s="123"/>
      <c r="WES88" s="123"/>
      <c r="WET88" s="123"/>
      <c r="WEU88" s="123"/>
      <c r="WEV88" s="123"/>
      <c r="WEW88" s="123"/>
      <c r="WEX88" s="123"/>
      <c r="WEY88" s="123"/>
      <c r="WEZ88" s="123"/>
      <c r="WFA88" s="123"/>
      <c r="WFB88" s="123"/>
      <c r="WFC88" s="123"/>
      <c r="WFD88" s="123"/>
      <c r="WFE88" s="123"/>
      <c r="WFF88" s="123"/>
      <c r="WFG88" s="123"/>
      <c r="WFH88" s="123"/>
      <c r="WFI88" s="123"/>
      <c r="WFJ88" s="123"/>
      <c r="WFK88" s="123"/>
      <c r="WFL88" s="123"/>
      <c r="WFM88" s="123"/>
      <c r="WFN88" s="123"/>
      <c r="WFO88" s="123"/>
      <c r="WFP88" s="123"/>
      <c r="WFQ88" s="123"/>
      <c r="WFR88" s="123"/>
      <c r="WFS88" s="123"/>
      <c r="WFT88" s="123"/>
      <c r="WFU88" s="123"/>
      <c r="WFV88" s="123"/>
      <c r="WFW88" s="123"/>
      <c r="WFX88" s="123"/>
      <c r="WFY88" s="123"/>
      <c r="WFZ88" s="123"/>
      <c r="WGA88" s="123"/>
      <c r="WGB88" s="123"/>
      <c r="WGC88" s="123"/>
      <c r="WGD88" s="123"/>
      <c r="WGE88" s="123"/>
      <c r="WGF88" s="123"/>
      <c r="WGG88" s="123"/>
      <c r="WGH88" s="123"/>
      <c r="WGI88" s="123"/>
      <c r="WGJ88" s="123"/>
      <c r="WGK88" s="123"/>
      <c r="WGL88" s="123"/>
      <c r="WGM88" s="123"/>
      <c r="WGN88" s="123"/>
      <c r="WGO88" s="123"/>
      <c r="WGP88" s="123"/>
      <c r="WGQ88" s="123"/>
      <c r="WGR88" s="123"/>
      <c r="WGS88" s="123"/>
      <c r="WGT88" s="123"/>
      <c r="WGU88" s="123"/>
      <c r="WGV88" s="123"/>
      <c r="WGW88" s="123"/>
      <c r="WGX88" s="123"/>
      <c r="WGY88" s="123"/>
      <c r="WGZ88" s="123"/>
      <c r="WHA88" s="123"/>
      <c r="WHB88" s="123"/>
      <c r="WHC88" s="123"/>
      <c r="WHD88" s="123"/>
      <c r="WHE88" s="123"/>
      <c r="WHF88" s="123"/>
      <c r="WHG88" s="123"/>
      <c r="WHH88" s="123"/>
      <c r="WHI88" s="123"/>
      <c r="WHJ88" s="123"/>
      <c r="WHK88" s="123"/>
      <c r="WHL88" s="123"/>
      <c r="WHM88" s="123"/>
      <c r="WHN88" s="123"/>
      <c r="WHO88" s="123"/>
      <c r="WHP88" s="123"/>
      <c r="WHQ88" s="123"/>
      <c r="WHR88" s="123"/>
      <c r="WHS88" s="123"/>
      <c r="WHT88" s="123"/>
      <c r="WHU88" s="123"/>
      <c r="WHV88" s="123"/>
      <c r="WHW88" s="123"/>
      <c r="WHX88" s="123"/>
      <c r="WHY88" s="123"/>
      <c r="WHZ88" s="123"/>
      <c r="WIA88" s="123"/>
      <c r="WIB88" s="123"/>
      <c r="WIC88" s="123"/>
      <c r="WID88" s="123"/>
      <c r="WIE88" s="123"/>
      <c r="WIF88" s="123"/>
      <c r="WIG88" s="123"/>
      <c r="WIH88" s="123"/>
      <c r="WII88" s="123"/>
      <c r="WIJ88" s="123"/>
      <c r="WIK88" s="123"/>
      <c r="WIL88" s="123"/>
      <c r="WIM88" s="123"/>
      <c r="WIN88" s="123"/>
      <c r="WIO88" s="123"/>
      <c r="WIP88" s="123"/>
      <c r="WIQ88" s="123"/>
      <c r="WIR88" s="123"/>
      <c r="WIS88" s="123"/>
      <c r="WIT88" s="123"/>
      <c r="WIU88" s="123"/>
      <c r="WIV88" s="123"/>
      <c r="WIW88" s="123"/>
      <c r="WIX88" s="123"/>
      <c r="WIY88" s="123"/>
      <c r="WIZ88" s="123"/>
      <c r="WJA88" s="123"/>
      <c r="WJB88" s="123"/>
      <c r="WJC88" s="123"/>
      <c r="WJD88" s="123"/>
      <c r="WJE88" s="123"/>
      <c r="WJF88" s="123"/>
      <c r="WJG88" s="123"/>
      <c r="WJH88" s="123"/>
      <c r="WJI88" s="123"/>
      <c r="WJJ88" s="123"/>
      <c r="WJK88" s="123"/>
      <c r="WJL88" s="123"/>
      <c r="WJM88" s="123"/>
      <c r="WJN88" s="123"/>
      <c r="WJO88" s="123"/>
      <c r="WJP88" s="123"/>
      <c r="WJQ88" s="123"/>
      <c r="WJR88" s="123"/>
      <c r="WJS88" s="123"/>
      <c r="WJT88" s="123"/>
      <c r="WJU88" s="123"/>
      <c r="WJV88" s="123"/>
      <c r="WJW88" s="123"/>
      <c r="WJX88" s="123"/>
      <c r="WJY88" s="123"/>
      <c r="WJZ88" s="123"/>
      <c r="WKA88" s="123"/>
      <c r="WKB88" s="123"/>
      <c r="WKC88" s="123"/>
      <c r="WKD88" s="123"/>
      <c r="WKE88" s="123"/>
      <c r="WKF88" s="123"/>
      <c r="WKG88" s="123"/>
      <c r="WKH88" s="123"/>
      <c r="WKI88" s="123"/>
      <c r="WKJ88" s="123"/>
      <c r="WKK88" s="123"/>
      <c r="WKL88" s="123"/>
      <c r="WKM88" s="123"/>
      <c r="WKN88" s="123"/>
      <c r="WKO88" s="123"/>
      <c r="WKP88" s="123"/>
      <c r="WKQ88" s="123"/>
      <c r="WKR88" s="123"/>
      <c r="WKS88" s="123"/>
      <c r="WKT88" s="123"/>
      <c r="WKU88" s="123"/>
      <c r="WKV88" s="123"/>
      <c r="WKW88" s="123"/>
      <c r="WKX88" s="123"/>
      <c r="WKY88" s="123"/>
      <c r="WKZ88" s="123"/>
      <c r="WLA88" s="123"/>
      <c r="WLB88" s="123"/>
      <c r="WLC88" s="123"/>
      <c r="WLD88" s="123"/>
      <c r="WLE88" s="123"/>
      <c r="WLF88" s="123"/>
      <c r="WLG88" s="123"/>
      <c r="WLH88" s="123"/>
      <c r="WLI88" s="123"/>
      <c r="WLJ88" s="123"/>
      <c r="WLK88" s="123"/>
      <c r="WLL88" s="123"/>
      <c r="WLM88" s="123"/>
      <c r="WLN88" s="123"/>
      <c r="WLO88" s="123"/>
      <c r="WLP88" s="123"/>
      <c r="WLQ88" s="123"/>
      <c r="WLR88" s="123"/>
      <c r="WLS88" s="123"/>
      <c r="WLT88" s="123"/>
      <c r="WLU88" s="123"/>
      <c r="WLV88" s="123"/>
      <c r="WLW88" s="123"/>
      <c r="WLX88" s="123"/>
      <c r="WLY88" s="123"/>
      <c r="WLZ88" s="123"/>
      <c r="WMA88" s="123"/>
      <c r="WMB88" s="123"/>
      <c r="WMC88" s="123"/>
      <c r="WMD88" s="123"/>
      <c r="WME88" s="123"/>
      <c r="WMF88" s="123"/>
      <c r="WMG88" s="123"/>
      <c r="WMH88" s="123"/>
      <c r="WMI88" s="123"/>
      <c r="WMJ88" s="123"/>
      <c r="WMK88" s="123"/>
      <c r="WML88" s="123"/>
      <c r="WMM88" s="123"/>
      <c r="WMN88" s="123"/>
      <c r="WMO88" s="123"/>
      <c r="WMP88" s="123"/>
      <c r="WMQ88" s="123"/>
      <c r="WMR88" s="123"/>
      <c r="WMS88" s="123"/>
      <c r="WMT88" s="123"/>
      <c r="WMU88" s="123"/>
      <c r="WMV88" s="123"/>
      <c r="WMW88" s="123"/>
      <c r="WMX88" s="123"/>
      <c r="WMY88" s="123"/>
      <c r="WMZ88" s="123"/>
      <c r="WNA88" s="123"/>
      <c r="WNB88" s="123"/>
      <c r="WNC88" s="123"/>
      <c r="WND88" s="123"/>
      <c r="WNE88" s="123"/>
      <c r="WNF88" s="123"/>
      <c r="WNG88" s="123"/>
      <c r="WNH88" s="123"/>
      <c r="WNI88" s="123"/>
      <c r="WNJ88" s="123"/>
      <c r="WNK88" s="123"/>
      <c r="WNL88" s="123"/>
      <c r="WNM88" s="123"/>
      <c r="WNN88" s="123"/>
      <c r="WNO88" s="123"/>
      <c r="WNP88" s="123"/>
      <c r="WNQ88" s="123"/>
      <c r="WNR88" s="123"/>
      <c r="WNS88" s="123"/>
      <c r="WNT88" s="123"/>
      <c r="WNU88" s="123"/>
      <c r="WNV88" s="123"/>
      <c r="WNW88" s="123"/>
      <c r="WNX88" s="123"/>
      <c r="WNY88" s="123"/>
      <c r="WNZ88" s="123"/>
      <c r="WOA88" s="123"/>
      <c r="WOB88" s="123"/>
      <c r="WOC88" s="123"/>
      <c r="WOD88" s="123"/>
      <c r="WOE88" s="123"/>
      <c r="WOF88" s="123"/>
      <c r="WOG88" s="123"/>
      <c r="WOH88" s="123"/>
      <c r="WOI88" s="123"/>
      <c r="WOJ88" s="123"/>
      <c r="WOK88" s="123"/>
      <c r="WOL88" s="123"/>
      <c r="WOM88" s="123"/>
      <c r="WON88" s="123"/>
      <c r="WOO88" s="123"/>
      <c r="WOP88" s="123"/>
      <c r="WOQ88" s="123"/>
      <c r="WOR88" s="123"/>
      <c r="WOS88" s="123"/>
      <c r="WOT88" s="123"/>
      <c r="WOU88" s="123"/>
      <c r="WOV88" s="123"/>
      <c r="WOW88" s="123"/>
      <c r="WOX88" s="123"/>
      <c r="WOY88" s="123"/>
      <c r="WOZ88" s="123"/>
      <c r="WPA88" s="123"/>
      <c r="WPB88" s="123"/>
      <c r="WPC88" s="123"/>
      <c r="WPD88" s="123"/>
      <c r="WPE88" s="123"/>
      <c r="WPF88" s="123"/>
      <c r="WPG88" s="123"/>
      <c r="WPH88" s="123"/>
      <c r="WPI88" s="123"/>
      <c r="WPJ88" s="123"/>
      <c r="WPK88" s="123"/>
      <c r="WPL88" s="123"/>
      <c r="WPM88" s="123"/>
      <c r="WPN88" s="123"/>
      <c r="WPO88" s="123"/>
      <c r="WPP88" s="123"/>
      <c r="WPQ88" s="123"/>
      <c r="WPR88" s="123"/>
      <c r="WPS88" s="123"/>
      <c r="WPT88" s="123"/>
      <c r="WPU88" s="123"/>
      <c r="WPV88" s="123"/>
      <c r="WPW88" s="123"/>
      <c r="WPX88" s="123"/>
      <c r="WPY88" s="123"/>
      <c r="WPZ88" s="123"/>
      <c r="WQA88" s="123"/>
      <c r="WQB88" s="123"/>
      <c r="WQC88" s="123"/>
      <c r="WQD88" s="123"/>
      <c r="WQE88" s="123"/>
      <c r="WQF88" s="123"/>
      <c r="WQG88" s="123"/>
      <c r="WQH88" s="123"/>
      <c r="WQI88" s="123"/>
      <c r="WQJ88" s="123"/>
      <c r="WQK88" s="123"/>
      <c r="WQL88" s="123"/>
      <c r="WQM88" s="123"/>
      <c r="WQN88" s="123"/>
      <c r="WQO88" s="123"/>
      <c r="WQP88" s="123"/>
      <c r="WQQ88" s="123"/>
      <c r="WQR88" s="123"/>
      <c r="WQS88" s="123"/>
      <c r="WQT88" s="123"/>
      <c r="WQU88" s="123"/>
      <c r="WQV88" s="123"/>
      <c r="WQW88" s="123"/>
      <c r="WQX88" s="123"/>
      <c r="WQY88" s="123"/>
      <c r="WQZ88" s="123"/>
      <c r="WRA88" s="123"/>
      <c r="WRB88" s="123"/>
      <c r="WRC88" s="123"/>
      <c r="WRD88" s="123"/>
      <c r="WRE88" s="123"/>
      <c r="WRF88" s="123"/>
      <c r="WRG88" s="123"/>
      <c r="WRH88" s="123"/>
      <c r="WRI88" s="123"/>
      <c r="WRJ88" s="123"/>
      <c r="WRK88" s="123"/>
      <c r="WRL88" s="123"/>
      <c r="WRM88" s="123"/>
      <c r="WRN88" s="123"/>
      <c r="WRO88" s="123"/>
      <c r="WRP88" s="123"/>
      <c r="WRQ88" s="123"/>
      <c r="WRR88" s="123"/>
      <c r="WRS88" s="123"/>
      <c r="WRT88" s="123"/>
      <c r="WRU88" s="123"/>
      <c r="WRV88" s="123"/>
      <c r="WRW88" s="123"/>
      <c r="WRX88" s="123"/>
      <c r="WRY88" s="123"/>
      <c r="WRZ88" s="123"/>
      <c r="WSA88" s="123"/>
      <c r="WSB88" s="123"/>
      <c r="WSC88" s="123"/>
      <c r="WSD88" s="123"/>
      <c r="WSE88" s="123"/>
      <c r="WSF88" s="123"/>
      <c r="WSG88" s="123"/>
      <c r="WSH88" s="123"/>
      <c r="WSI88" s="123"/>
      <c r="WSJ88" s="123"/>
      <c r="WSK88" s="123"/>
      <c r="WSL88" s="123"/>
      <c r="WSM88" s="123"/>
      <c r="WSN88" s="123"/>
      <c r="WSO88" s="123"/>
      <c r="WSP88" s="123"/>
      <c r="WSQ88" s="123"/>
      <c r="WSR88" s="123"/>
      <c r="WSS88" s="123"/>
      <c r="WST88" s="123"/>
      <c r="WSU88" s="123"/>
      <c r="WSV88" s="123"/>
      <c r="WSW88" s="123"/>
      <c r="WSX88" s="123"/>
      <c r="WSY88" s="123"/>
      <c r="WSZ88" s="123"/>
      <c r="WTA88" s="123"/>
      <c r="WTB88" s="123"/>
      <c r="WTC88" s="123"/>
      <c r="WTD88" s="123"/>
      <c r="WTE88" s="123"/>
      <c r="WTF88" s="123"/>
      <c r="WTG88" s="123"/>
      <c r="WTH88" s="123"/>
      <c r="WTI88" s="123"/>
      <c r="WTJ88" s="123"/>
      <c r="WTK88" s="123"/>
      <c r="WTL88" s="123"/>
      <c r="WTM88" s="123"/>
      <c r="WTN88" s="123"/>
      <c r="WTO88" s="123"/>
      <c r="WTP88" s="123"/>
      <c r="WTQ88" s="123"/>
      <c r="WTR88" s="123"/>
      <c r="WTS88" s="123"/>
      <c r="WTT88" s="123"/>
      <c r="WTU88" s="123"/>
      <c r="WTV88" s="123"/>
      <c r="WTW88" s="123"/>
      <c r="WTX88" s="123"/>
      <c r="WTY88" s="123"/>
      <c r="WTZ88" s="123"/>
      <c r="WUA88" s="123"/>
      <c r="WUB88" s="123"/>
      <c r="WUC88" s="123"/>
      <c r="WUD88" s="123"/>
      <c r="WUE88" s="123"/>
      <c r="WUF88" s="123"/>
      <c r="WUG88" s="123"/>
      <c r="WUH88" s="123"/>
      <c r="WUI88" s="123"/>
      <c r="WUJ88" s="123"/>
      <c r="WUK88" s="123"/>
      <c r="WUL88" s="123"/>
      <c r="WUM88" s="123"/>
      <c r="WUN88" s="123"/>
      <c r="WUO88" s="123"/>
      <c r="WUP88" s="123"/>
      <c r="WUQ88" s="123"/>
      <c r="WUR88" s="123"/>
      <c r="WUS88" s="123"/>
      <c r="WUT88" s="123"/>
      <c r="WUU88" s="123"/>
      <c r="WUV88" s="123"/>
      <c r="WUW88" s="123"/>
      <c r="WUX88" s="123"/>
      <c r="WUY88" s="123"/>
      <c r="WUZ88" s="123"/>
      <c r="WVA88" s="123"/>
      <c r="WVB88" s="123"/>
      <c r="WVC88" s="123"/>
      <c r="WVD88" s="123"/>
      <c r="WVE88" s="123"/>
      <c r="WVF88" s="123"/>
      <c r="WVG88" s="123"/>
      <c r="WVH88" s="123"/>
      <c r="WVI88" s="123"/>
      <c r="WVJ88" s="123"/>
      <c r="WVK88" s="123"/>
      <c r="WVL88" s="123"/>
      <c r="WVM88" s="123"/>
      <c r="WVN88" s="123"/>
      <c r="WVO88" s="123"/>
      <c r="WVP88" s="123"/>
      <c r="WVQ88" s="123"/>
      <c r="WVR88" s="123"/>
      <c r="WVS88" s="123"/>
      <c r="WVT88" s="123"/>
      <c r="WVU88" s="123"/>
      <c r="WVV88" s="123"/>
      <c r="WVW88" s="123"/>
      <c r="WVX88" s="123"/>
      <c r="WVY88" s="123"/>
      <c r="WVZ88" s="123"/>
      <c r="WWA88" s="123"/>
      <c r="WWB88" s="123"/>
      <c r="WWC88" s="123"/>
      <c r="WWD88" s="123"/>
      <c r="WWE88" s="123"/>
      <c r="WWF88" s="123"/>
      <c r="WWG88" s="123"/>
      <c r="WWH88" s="123"/>
      <c r="WWI88" s="123"/>
      <c r="WWJ88" s="123"/>
      <c r="WWK88" s="123"/>
      <c r="WWL88" s="123"/>
      <c r="WWM88" s="123"/>
      <c r="WWN88" s="123"/>
      <c r="WWO88" s="123"/>
      <c r="WWP88" s="123"/>
      <c r="WWQ88" s="123"/>
      <c r="WWR88" s="123"/>
      <c r="WWS88" s="123"/>
      <c r="WWT88" s="123"/>
      <c r="WWU88" s="123"/>
      <c r="WWV88" s="123"/>
      <c r="WWW88" s="123"/>
      <c r="WWX88" s="123"/>
      <c r="WWY88" s="123"/>
      <c r="WWZ88" s="123"/>
      <c r="WXA88" s="123"/>
      <c r="WXB88" s="123"/>
      <c r="WXC88" s="123"/>
      <c r="WXD88" s="123"/>
      <c r="WXE88" s="123"/>
      <c r="WXF88" s="123"/>
      <c r="WXG88" s="123"/>
      <c r="WXH88" s="123"/>
      <c r="WXI88" s="123"/>
      <c r="WXJ88" s="123"/>
      <c r="WXK88" s="123"/>
      <c r="WXL88" s="123"/>
      <c r="WXM88" s="123"/>
      <c r="WXN88" s="123"/>
      <c r="WXO88" s="123"/>
      <c r="WXP88" s="123"/>
      <c r="WXQ88" s="123"/>
      <c r="WXR88" s="123"/>
      <c r="WXS88" s="123"/>
      <c r="WXT88" s="123"/>
      <c r="WXU88" s="123"/>
      <c r="WXV88" s="123"/>
      <c r="WXW88" s="123"/>
      <c r="WXX88" s="123"/>
      <c r="WXY88" s="123"/>
      <c r="WXZ88" s="123"/>
      <c r="WYA88" s="123"/>
      <c r="WYB88" s="123"/>
      <c r="WYC88" s="123"/>
      <c r="WYD88" s="123"/>
      <c r="WYE88" s="123"/>
      <c r="WYF88" s="123"/>
      <c r="WYG88" s="123"/>
      <c r="WYH88" s="123"/>
      <c r="WYI88" s="123"/>
      <c r="WYJ88" s="123"/>
      <c r="WYK88" s="123"/>
      <c r="WYL88" s="123"/>
      <c r="WYM88" s="123"/>
      <c r="WYN88" s="123"/>
      <c r="WYO88" s="123"/>
      <c r="WYP88" s="123"/>
      <c r="WYQ88" s="123"/>
      <c r="WYR88" s="123"/>
      <c r="WYS88" s="123"/>
      <c r="WYT88" s="123"/>
      <c r="WYU88" s="123"/>
      <c r="WYV88" s="123"/>
      <c r="WYW88" s="123"/>
      <c r="WYX88" s="123"/>
      <c r="WYY88" s="123"/>
      <c r="WYZ88" s="123"/>
      <c r="WZA88" s="123"/>
      <c r="WZB88" s="123"/>
      <c r="WZC88" s="123"/>
      <c r="WZD88" s="123"/>
      <c r="WZE88" s="123"/>
      <c r="WZF88" s="123"/>
      <c r="WZG88" s="123"/>
      <c r="WZH88" s="123"/>
      <c r="WZI88" s="123"/>
      <c r="WZJ88" s="123"/>
      <c r="WZK88" s="123"/>
      <c r="WZL88" s="123"/>
      <c r="WZM88" s="123"/>
      <c r="WZN88" s="123"/>
      <c r="WZO88" s="123"/>
      <c r="WZP88" s="123"/>
      <c r="WZQ88" s="123"/>
      <c r="WZR88" s="123"/>
      <c r="WZS88" s="123"/>
      <c r="WZT88" s="123"/>
      <c r="WZU88" s="123"/>
      <c r="WZV88" s="123"/>
      <c r="WZW88" s="123"/>
      <c r="WZX88" s="123"/>
      <c r="WZY88" s="123"/>
      <c r="WZZ88" s="123"/>
      <c r="XAA88" s="123"/>
      <c r="XAB88" s="123"/>
      <c r="XAC88" s="123"/>
      <c r="XAD88" s="123"/>
      <c r="XAE88" s="123"/>
      <c r="XAF88" s="123"/>
      <c r="XAG88" s="123"/>
      <c r="XAH88" s="123"/>
      <c r="XAI88" s="123"/>
      <c r="XAJ88" s="123"/>
      <c r="XAK88" s="123"/>
      <c r="XAL88" s="123"/>
      <c r="XAM88" s="123"/>
      <c r="XAN88" s="123"/>
      <c r="XAO88" s="123"/>
      <c r="XAP88" s="123"/>
      <c r="XAQ88" s="123"/>
      <c r="XAR88" s="123"/>
      <c r="XAS88" s="123"/>
      <c r="XAT88" s="123"/>
      <c r="XAU88" s="123"/>
      <c r="XAV88" s="123"/>
      <c r="XAW88" s="123"/>
      <c r="XAX88" s="123"/>
      <c r="XAY88" s="123"/>
      <c r="XAZ88" s="123"/>
      <c r="XBA88" s="123"/>
      <c r="XBB88" s="123"/>
      <c r="XBC88" s="123"/>
      <c r="XBD88" s="123"/>
      <c r="XBE88" s="123"/>
      <c r="XBF88" s="123"/>
      <c r="XBG88" s="123"/>
      <c r="XBH88" s="123"/>
      <c r="XBI88" s="123"/>
      <c r="XBJ88" s="123"/>
      <c r="XBK88" s="123"/>
      <c r="XBL88" s="123"/>
      <c r="XBM88" s="123"/>
      <c r="XBN88" s="123"/>
      <c r="XBO88" s="123"/>
      <c r="XBP88" s="123"/>
      <c r="XBQ88" s="123"/>
      <c r="XBR88" s="123"/>
      <c r="XBS88" s="123"/>
      <c r="XBT88" s="123"/>
      <c r="XBU88" s="123"/>
      <c r="XBV88" s="123"/>
      <c r="XBW88" s="123"/>
      <c r="XBX88" s="123"/>
      <c r="XBY88" s="123"/>
      <c r="XBZ88" s="123"/>
      <c r="XCA88" s="123"/>
      <c r="XCB88" s="123"/>
      <c r="XCC88" s="123"/>
      <c r="XCD88" s="123"/>
      <c r="XCE88" s="123"/>
      <c r="XCF88" s="123"/>
      <c r="XCG88" s="123"/>
      <c r="XCH88" s="123"/>
      <c r="XCI88" s="123"/>
      <c r="XCJ88" s="123"/>
      <c r="XCK88" s="123"/>
      <c r="XCL88" s="123"/>
      <c r="XCM88" s="123"/>
      <c r="XCN88" s="123"/>
      <c r="XCO88" s="123"/>
      <c r="XCP88" s="123"/>
      <c r="XCQ88" s="123"/>
      <c r="XCR88" s="123"/>
      <c r="XCS88" s="123"/>
      <c r="XCT88" s="123"/>
      <c r="XCU88" s="123"/>
      <c r="XCV88" s="123"/>
      <c r="XCW88" s="123"/>
      <c r="XCX88" s="123"/>
      <c r="XCY88" s="123"/>
      <c r="XCZ88" s="123"/>
      <c r="XDA88" s="123"/>
      <c r="XDB88" s="123"/>
      <c r="XDC88" s="123"/>
      <c r="XDD88" s="123"/>
      <c r="XDE88" s="123"/>
      <c r="XDF88" s="123"/>
      <c r="XDG88" s="123"/>
      <c r="XDH88" s="123"/>
      <c r="XDI88" s="123"/>
      <c r="XDJ88" s="123"/>
      <c r="XDK88" s="123"/>
      <c r="XDL88" s="123"/>
      <c r="XDM88" s="123"/>
      <c r="XDN88" s="123"/>
      <c r="XDO88" s="123"/>
      <c r="XDP88" s="123"/>
      <c r="XDQ88" s="123"/>
      <c r="XDR88" s="123"/>
      <c r="XDS88" s="123"/>
      <c r="XDT88" s="123"/>
      <c r="XDU88" s="123"/>
      <c r="XDV88" s="123"/>
      <c r="XDW88" s="123"/>
      <c r="XDX88" s="123"/>
      <c r="XDY88" s="123"/>
      <c r="XDZ88" s="123"/>
      <c r="XEA88" s="123"/>
      <c r="XEB88" s="123"/>
      <c r="XEC88" s="123"/>
      <c r="XED88" s="123"/>
      <c r="XEE88" s="123"/>
      <c r="XEF88" s="123"/>
      <c r="XEG88" s="123"/>
      <c r="XEH88" s="123"/>
      <c r="XEI88" s="123"/>
      <c r="XEJ88" s="123"/>
      <c r="XEK88" s="123"/>
      <c r="XEL88" s="123"/>
      <c r="XEM88" s="123"/>
      <c r="XEN88" s="123"/>
      <c r="XEO88" s="123"/>
      <c r="XEP88" s="123"/>
      <c r="XEQ88" s="123"/>
      <c r="XER88" s="123"/>
      <c r="XES88" s="123"/>
      <c r="XET88" s="123"/>
      <c r="XEU88" s="123"/>
      <c r="XEV88" s="123"/>
      <c r="XEW88" s="123"/>
      <c r="XEX88" s="123"/>
      <c r="XEY88" s="123"/>
      <c r="XEZ88" s="123"/>
      <c r="XFA88" s="123"/>
      <c r="XFB88" s="123"/>
      <c r="XFC88" s="123"/>
      <c r="XFD88" s="123"/>
    </row>
    <row r="89" spans="1:16384" s="127" customFormat="1" ht="30" customHeight="1" thickTop="1" thickBot="1" x14ac:dyDescent="0.25">
      <c r="A89" s="639" t="s">
        <v>0</v>
      </c>
      <c r="B89" s="639" t="s">
        <v>1</v>
      </c>
      <c r="C89" s="639" t="s">
        <v>2569</v>
      </c>
      <c r="D89" s="636" t="s">
        <v>1961</v>
      </c>
      <c r="E89" s="637"/>
      <c r="F89" s="637"/>
      <c r="G89" s="638"/>
      <c r="H89" s="636" t="s">
        <v>3</v>
      </c>
      <c r="I89" s="637"/>
      <c r="J89" s="636" t="s">
        <v>1962</v>
      </c>
      <c r="K89" s="637"/>
      <c r="L89" s="637"/>
      <c r="M89" s="638"/>
    </row>
    <row r="90" spans="1:16384" s="127" customFormat="1" ht="34.5" customHeight="1" thickTop="1" thickBot="1" x14ac:dyDescent="0.25">
      <c r="A90" s="640"/>
      <c r="B90" s="640"/>
      <c r="C90" s="640"/>
      <c r="D90" s="209" t="s">
        <v>4</v>
      </c>
      <c r="E90" s="209" t="s">
        <v>5</v>
      </c>
      <c r="F90" s="209" t="s">
        <v>6</v>
      </c>
      <c r="G90" s="209" t="s">
        <v>7</v>
      </c>
      <c r="H90" s="209" t="s">
        <v>2</v>
      </c>
      <c r="I90" s="209" t="s">
        <v>3</v>
      </c>
      <c r="J90" s="209" t="s">
        <v>8</v>
      </c>
      <c r="K90" s="389" t="s">
        <v>9</v>
      </c>
      <c r="L90" s="389" t="s">
        <v>1963</v>
      </c>
      <c r="M90" s="389" t="s">
        <v>1964</v>
      </c>
    </row>
    <row r="91" spans="1:16384" s="84" customFormat="1" ht="49.5" customHeight="1" thickTop="1" thickBot="1" x14ac:dyDescent="0.25">
      <c r="A91" s="404" t="s">
        <v>840</v>
      </c>
      <c r="B91" s="404" t="s">
        <v>802</v>
      </c>
      <c r="C91" s="405" t="s">
        <v>53</v>
      </c>
      <c r="D91" s="404">
        <v>2</v>
      </c>
      <c r="E91" s="404">
        <v>30</v>
      </c>
      <c r="F91" s="404">
        <v>3</v>
      </c>
      <c r="G91" s="404">
        <v>520</v>
      </c>
      <c r="H91" s="212">
        <v>180000000</v>
      </c>
      <c r="I91" s="212">
        <v>77549016</v>
      </c>
      <c r="J91" s="216" t="s">
        <v>789</v>
      </c>
      <c r="K91" s="401" t="s">
        <v>25</v>
      </c>
      <c r="L91" s="404">
        <v>4</v>
      </c>
      <c r="M91" s="404">
        <v>2</v>
      </c>
    </row>
    <row r="92" spans="1:16384" s="84" customFormat="1" ht="49.5" customHeight="1" thickTop="1" thickBot="1" x14ac:dyDescent="0.25">
      <c r="A92" s="404" t="s">
        <v>840</v>
      </c>
      <c r="B92" s="404" t="s">
        <v>802</v>
      </c>
      <c r="C92" s="405" t="s">
        <v>53</v>
      </c>
      <c r="D92" s="404">
        <v>2</v>
      </c>
      <c r="E92" s="404">
        <v>30</v>
      </c>
      <c r="F92" s="404">
        <v>3</v>
      </c>
      <c r="G92" s="404">
        <v>520</v>
      </c>
      <c r="H92" s="212">
        <v>120000000</v>
      </c>
      <c r="I92" s="212">
        <v>105887254</v>
      </c>
      <c r="J92" s="216" t="s">
        <v>790</v>
      </c>
      <c r="K92" s="401" t="s">
        <v>791</v>
      </c>
      <c r="L92" s="404">
        <v>2</v>
      </c>
      <c r="M92" s="404">
        <v>2</v>
      </c>
    </row>
    <row r="93" spans="1:16384" s="84" customFormat="1" ht="49.5" customHeight="1" thickTop="1" thickBot="1" x14ac:dyDescent="0.25">
      <c r="A93" s="404" t="s">
        <v>840</v>
      </c>
      <c r="B93" s="404" t="s">
        <v>802</v>
      </c>
      <c r="C93" s="405" t="s">
        <v>53</v>
      </c>
      <c r="D93" s="404">
        <v>2</v>
      </c>
      <c r="E93" s="404">
        <v>30</v>
      </c>
      <c r="F93" s="404">
        <v>3</v>
      </c>
      <c r="G93" s="404">
        <v>520</v>
      </c>
      <c r="H93" s="212">
        <f>450000000+67426200</f>
        <v>517426200</v>
      </c>
      <c r="I93" s="212">
        <f>149642610+33600000+33000000+69503857+8000000+135000000</f>
        <v>428746467</v>
      </c>
      <c r="J93" s="216" t="s">
        <v>792</v>
      </c>
      <c r="K93" s="401" t="s">
        <v>619</v>
      </c>
      <c r="L93" s="404">
        <v>12</v>
      </c>
      <c r="M93" s="404">
        <v>10</v>
      </c>
    </row>
    <row r="94" spans="1:16384" s="84" customFormat="1" ht="37.5" customHeight="1" thickTop="1" thickBot="1" x14ac:dyDescent="0.25">
      <c r="A94" s="404" t="s">
        <v>840</v>
      </c>
      <c r="B94" s="404" t="s">
        <v>802</v>
      </c>
      <c r="C94" s="405" t="s">
        <v>105</v>
      </c>
      <c r="D94" s="404">
        <v>2</v>
      </c>
      <c r="E94" s="404">
        <v>30</v>
      </c>
      <c r="F94" s="404">
        <v>3</v>
      </c>
      <c r="G94" s="404">
        <v>540</v>
      </c>
      <c r="H94" s="212">
        <v>50000000</v>
      </c>
      <c r="I94" s="212">
        <v>49600000</v>
      </c>
      <c r="J94" s="216" t="s">
        <v>793</v>
      </c>
      <c r="K94" s="401" t="s">
        <v>84</v>
      </c>
      <c r="L94" s="404">
        <v>180</v>
      </c>
      <c r="M94" s="404">
        <v>180</v>
      </c>
    </row>
    <row r="95" spans="1:16384" s="84" customFormat="1" ht="37.5" customHeight="1" thickTop="1" thickBot="1" x14ac:dyDescent="0.25">
      <c r="A95" s="404" t="s">
        <v>840</v>
      </c>
      <c r="B95" s="404" t="s">
        <v>802</v>
      </c>
      <c r="C95" s="405" t="s">
        <v>18</v>
      </c>
      <c r="D95" s="404">
        <v>2</v>
      </c>
      <c r="E95" s="404">
        <v>30</v>
      </c>
      <c r="F95" s="404">
        <v>3</v>
      </c>
      <c r="G95" s="404">
        <v>848</v>
      </c>
      <c r="H95" s="212">
        <v>371754095</v>
      </c>
      <c r="I95" s="212">
        <f>157584500+157584500</f>
        <v>315169000</v>
      </c>
      <c r="J95" s="216" t="s">
        <v>794</v>
      </c>
      <c r="K95" s="401" t="s">
        <v>20</v>
      </c>
      <c r="L95" s="404">
        <v>193</v>
      </c>
      <c r="M95" s="404">
        <v>193</v>
      </c>
    </row>
    <row r="96" spans="1:16384" s="123" customFormat="1" ht="24" customHeight="1" thickTop="1" thickBot="1" x14ac:dyDescent="0.3">
      <c r="A96" s="129"/>
      <c r="B96" s="128"/>
      <c r="C96" s="12"/>
      <c r="D96" s="5"/>
      <c r="E96" s="5"/>
      <c r="F96" s="5"/>
      <c r="G96" s="5"/>
      <c r="H96" s="12"/>
      <c r="I96" s="12"/>
      <c r="J96" s="12"/>
      <c r="K96" s="12"/>
      <c r="L96" s="12"/>
      <c r="M96" s="38"/>
    </row>
    <row r="97" spans="1:13" s="127" customFormat="1" ht="30" customHeight="1" thickTop="1" thickBot="1" x14ac:dyDescent="0.25">
      <c r="A97" s="639" t="s">
        <v>0</v>
      </c>
      <c r="B97" s="639" t="s">
        <v>1</v>
      </c>
      <c r="C97" s="639" t="s">
        <v>2569</v>
      </c>
      <c r="D97" s="636" t="s">
        <v>1961</v>
      </c>
      <c r="E97" s="637"/>
      <c r="F97" s="637"/>
      <c r="G97" s="638"/>
      <c r="H97" s="636" t="s">
        <v>3</v>
      </c>
      <c r="I97" s="637"/>
      <c r="J97" s="636" t="s">
        <v>1962</v>
      </c>
      <c r="K97" s="637"/>
      <c r="L97" s="637"/>
      <c r="M97" s="638"/>
    </row>
    <row r="98" spans="1:13" s="127" customFormat="1" ht="34.5" customHeight="1" thickTop="1" thickBot="1" x14ac:dyDescent="0.25">
      <c r="A98" s="640"/>
      <c r="B98" s="640"/>
      <c r="C98" s="640"/>
      <c r="D98" s="209" t="s">
        <v>4</v>
      </c>
      <c r="E98" s="209" t="s">
        <v>5</v>
      </c>
      <c r="F98" s="209" t="s">
        <v>6</v>
      </c>
      <c r="G98" s="209" t="s">
        <v>7</v>
      </c>
      <c r="H98" s="209" t="s">
        <v>2</v>
      </c>
      <c r="I98" s="209" t="s">
        <v>3</v>
      </c>
      <c r="J98" s="209" t="s">
        <v>8</v>
      </c>
      <c r="K98" s="389" t="s">
        <v>9</v>
      </c>
      <c r="L98" s="389" t="s">
        <v>1963</v>
      </c>
      <c r="M98" s="389" t="s">
        <v>1964</v>
      </c>
    </row>
    <row r="99" spans="1:13" s="84" customFormat="1" ht="39" customHeight="1" thickTop="1" thickBot="1" x14ac:dyDescent="0.25">
      <c r="A99" s="394" t="s">
        <v>2468</v>
      </c>
      <c r="B99" s="394" t="s">
        <v>802</v>
      </c>
      <c r="C99" s="392" t="s">
        <v>18</v>
      </c>
      <c r="D99" s="394">
        <v>2</v>
      </c>
      <c r="E99" s="394">
        <v>30</v>
      </c>
      <c r="F99" s="394">
        <v>3</v>
      </c>
      <c r="G99" s="394">
        <v>848</v>
      </c>
      <c r="H99" s="390">
        <v>288000000</v>
      </c>
      <c r="I99" s="390">
        <v>135000000</v>
      </c>
      <c r="J99" s="427" t="s">
        <v>795</v>
      </c>
      <c r="K99" s="402" t="s">
        <v>20</v>
      </c>
      <c r="L99" s="394">
        <v>395</v>
      </c>
      <c r="M99" s="394">
        <v>395</v>
      </c>
    </row>
    <row r="100" spans="1:13" s="84" customFormat="1" ht="39" customHeight="1" thickTop="1" thickBot="1" x14ac:dyDescent="0.25">
      <c r="A100" s="618" t="s">
        <v>2468</v>
      </c>
      <c r="B100" s="307" t="s">
        <v>802</v>
      </c>
      <c r="C100" s="654" t="s">
        <v>53</v>
      </c>
      <c r="D100" s="398">
        <v>2</v>
      </c>
      <c r="E100" s="398">
        <v>30</v>
      </c>
      <c r="F100" s="398">
        <v>3</v>
      </c>
      <c r="G100" s="398">
        <v>520</v>
      </c>
      <c r="H100" s="398">
        <v>622000000</v>
      </c>
      <c r="I100" s="396">
        <v>593452900</v>
      </c>
      <c r="J100" s="262" t="s">
        <v>796</v>
      </c>
      <c r="K100" s="398" t="s">
        <v>55</v>
      </c>
      <c r="L100" s="396">
        <v>5</v>
      </c>
      <c r="M100" s="398">
        <v>5</v>
      </c>
    </row>
    <row r="101" spans="1:13" s="84" customFormat="1" ht="39" customHeight="1" thickTop="1" thickBot="1" x14ac:dyDescent="0.25">
      <c r="A101" s="618" t="s">
        <v>2468</v>
      </c>
      <c r="B101" s="307" t="s">
        <v>802</v>
      </c>
      <c r="C101" s="654"/>
      <c r="D101" s="398">
        <v>2</v>
      </c>
      <c r="E101" s="398">
        <v>30</v>
      </c>
      <c r="F101" s="398">
        <v>3</v>
      </c>
      <c r="G101" s="398">
        <v>540</v>
      </c>
      <c r="H101" s="398">
        <v>160000000</v>
      </c>
      <c r="I101" s="396">
        <v>87707686</v>
      </c>
      <c r="J101" s="262" t="s">
        <v>797</v>
      </c>
      <c r="K101" s="398" t="s">
        <v>17</v>
      </c>
      <c r="L101" s="396">
        <v>25</v>
      </c>
      <c r="M101" s="398">
        <v>14</v>
      </c>
    </row>
    <row r="102" spans="1:13" s="84" customFormat="1" ht="42" customHeight="1" thickTop="1" thickBot="1" x14ac:dyDescent="0.25">
      <c r="A102" s="618" t="s">
        <v>2468</v>
      </c>
      <c r="B102" s="395" t="s">
        <v>802</v>
      </c>
      <c r="C102" s="405" t="s">
        <v>440</v>
      </c>
      <c r="D102" s="395">
        <v>2</v>
      </c>
      <c r="E102" s="395">
        <v>30</v>
      </c>
      <c r="F102" s="395">
        <v>3</v>
      </c>
      <c r="G102" s="395">
        <v>520</v>
      </c>
      <c r="H102" s="391">
        <v>50000000</v>
      </c>
      <c r="I102" s="391"/>
      <c r="J102" s="280" t="s">
        <v>798</v>
      </c>
      <c r="K102" s="403" t="s">
        <v>108</v>
      </c>
      <c r="L102" s="395">
        <v>500</v>
      </c>
      <c r="M102" s="395">
        <v>0</v>
      </c>
    </row>
    <row r="103" spans="1:13" ht="15.75" thickTop="1" x14ac:dyDescent="0.25"/>
  </sheetData>
  <mergeCells count="87">
    <mergeCell ref="C100:C101"/>
    <mergeCell ref="B5:B6"/>
    <mergeCell ref="C5:C6"/>
    <mergeCell ref="C60:C61"/>
    <mergeCell ref="C58:C59"/>
    <mergeCell ref="C56:C57"/>
    <mergeCell ref="B28:B29"/>
    <mergeCell ref="C28:C29"/>
    <mergeCell ref="C65:C66"/>
    <mergeCell ref="B12:B13"/>
    <mergeCell ref="C12:C13"/>
    <mergeCell ref="B44:B45"/>
    <mergeCell ref="B79:B80"/>
    <mergeCell ref="C79:C80"/>
    <mergeCell ref="C44:C45"/>
    <mergeCell ref="B97:B98"/>
    <mergeCell ref="J65:J66"/>
    <mergeCell ref="I7:I8"/>
    <mergeCell ref="J7:J8"/>
    <mergeCell ref="D56:D57"/>
    <mergeCell ref="E56:E57"/>
    <mergeCell ref="F56:F57"/>
    <mergeCell ref="G56:G57"/>
    <mergeCell ref="H56:H57"/>
    <mergeCell ref="I56:I57"/>
    <mergeCell ref="H7:H8"/>
    <mergeCell ref="D12:G12"/>
    <mergeCell ref="J56:J57"/>
    <mergeCell ref="D44:G44"/>
    <mergeCell ref="F65:F66"/>
    <mergeCell ref="G65:G66"/>
    <mergeCell ref="H65:H66"/>
    <mergeCell ref="I65:I66"/>
    <mergeCell ref="D34:G34"/>
    <mergeCell ref="D7:D8"/>
    <mergeCell ref="E7:E8"/>
    <mergeCell ref="F7:F8"/>
    <mergeCell ref="G7:G8"/>
    <mergeCell ref="D28:G28"/>
    <mergeCell ref="D79:G79"/>
    <mergeCell ref="B63:B64"/>
    <mergeCell ref="B54:B55"/>
    <mergeCell ref="C54:C55"/>
    <mergeCell ref="D54:G54"/>
    <mergeCell ref="D65:D66"/>
    <mergeCell ref="E65:E66"/>
    <mergeCell ref="C63:C64"/>
    <mergeCell ref="D63:G63"/>
    <mergeCell ref="C97:C98"/>
    <mergeCell ref="D97:G97"/>
    <mergeCell ref="B89:B90"/>
    <mergeCell ref="C89:C90"/>
    <mergeCell ref="D89:G89"/>
    <mergeCell ref="A44:A45"/>
    <mergeCell ref="A54:A55"/>
    <mergeCell ref="A63:A64"/>
    <mergeCell ref="A79:A80"/>
    <mergeCell ref="A89:A90"/>
    <mergeCell ref="C7:C8"/>
    <mergeCell ref="A5:A6"/>
    <mergeCell ref="A12:A13"/>
    <mergeCell ref="A28:A29"/>
    <mergeCell ref="A34:A35"/>
    <mergeCell ref="B34:B35"/>
    <mergeCell ref="C34:C35"/>
    <mergeCell ref="H79:I79"/>
    <mergeCell ref="J79:M79"/>
    <mergeCell ref="H89:I89"/>
    <mergeCell ref="J89:M89"/>
    <mergeCell ref="H97:I97"/>
    <mergeCell ref="J97:M97"/>
    <mergeCell ref="A97:A98"/>
    <mergeCell ref="D5:G5"/>
    <mergeCell ref="H5:I5"/>
    <mergeCell ref="J5:M5"/>
    <mergeCell ref="H12:I12"/>
    <mergeCell ref="J12:M12"/>
    <mergeCell ref="H28:I28"/>
    <mergeCell ref="J28:M28"/>
    <mergeCell ref="H34:I34"/>
    <mergeCell ref="J34:M34"/>
    <mergeCell ref="H44:I44"/>
    <mergeCell ref="J44:M44"/>
    <mergeCell ref="H54:I54"/>
    <mergeCell ref="J54:M54"/>
    <mergeCell ref="H63:I63"/>
    <mergeCell ref="J63:M6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61"/>
  <sheetViews>
    <sheetView showGridLines="0" zoomScaleNormal="100" workbookViewId="0">
      <selection activeCell="C5" sqref="C5:C6"/>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28515625" customWidth="1"/>
    <col min="10" max="10" width="32.140625" customWidth="1"/>
    <col min="11" max="11" width="12.140625" customWidth="1"/>
    <col min="12" max="13" width="15.140625" customWidth="1"/>
  </cols>
  <sheetData>
    <row r="1" spans="1:13" s="63" customFormat="1" ht="15" customHeight="1" x14ac:dyDescent="0.25"/>
    <row r="2" spans="1:13" s="63" customFormat="1" ht="15" customHeight="1" x14ac:dyDescent="0.25"/>
    <row r="3" spans="1:13" s="63" customFormat="1" ht="15" customHeight="1" x14ac:dyDescent="0.25"/>
    <row r="4" spans="1:13" s="63" customFormat="1" ht="15" customHeight="1" thickBot="1" x14ac:dyDescent="0.3"/>
    <row r="5" spans="1:13" s="63" customFormat="1" ht="30" customHeight="1" thickTop="1" thickBot="1" x14ac:dyDescent="0.3">
      <c r="A5" s="639" t="s">
        <v>0</v>
      </c>
      <c r="B5" s="639" t="s">
        <v>1</v>
      </c>
      <c r="C5" s="639" t="s">
        <v>2569</v>
      </c>
      <c r="D5" s="636" t="s">
        <v>1961</v>
      </c>
      <c r="E5" s="637"/>
      <c r="F5" s="637"/>
      <c r="G5" s="638"/>
      <c r="H5" s="636" t="s">
        <v>3</v>
      </c>
      <c r="I5" s="637"/>
      <c r="J5" s="636" t="s">
        <v>1962</v>
      </c>
      <c r="K5" s="637"/>
      <c r="L5" s="637"/>
      <c r="M5" s="638"/>
    </row>
    <row r="6" spans="1:13" s="63" customFormat="1" ht="34.5" customHeight="1" thickTop="1" thickBot="1" x14ac:dyDescent="0.3">
      <c r="A6" s="640"/>
      <c r="B6" s="640"/>
      <c r="C6" s="640"/>
      <c r="D6" s="209" t="s">
        <v>4</v>
      </c>
      <c r="E6" s="209" t="s">
        <v>5</v>
      </c>
      <c r="F6" s="209" t="s">
        <v>6</v>
      </c>
      <c r="G6" s="209" t="s">
        <v>7</v>
      </c>
      <c r="H6" s="209" t="s">
        <v>2</v>
      </c>
      <c r="I6" s="209" t="s">
        <v>3</v>
      </c>
      <c r="J6" s="209" t="s">
        <v>8</v>
      </c>
      <c r="K6" s="389" t="s">
        <v>9</v>
      </c>
      <c r="L6" s="389" t="s">
        <v>1963</v>
      </c>
      <c r="M6" s="389" t="s">
        <v>1964</v>
      </c>
    </row>
    <row r="7" spans="1:13" s="63" customFormat="1" ht="48.75" customHeight="1" thickTop="1" thickBot="1" x14ac:dyDescent="0.3">
      <c r="A7" s="404" t="s">
        <v>2540</v>
      </c>
      <c r="B7" s="404" t="s">
        <v>2541</v>
      </c>
      <c r="C7" s="420" t="s">
        <v>53</v>
      </c>
      <c r="D7" s="404">
        <v>2</v>
      </c>
      <c r="E7" s="404">
        <v>30</v>
      </c>
      <c r="F7" s="404">
        <v>3</v>
      </c>
      <c r="G7" s="404">
        <v>520</v>
      </c>
      <c r="H7" s="212">
        <v>625000000</v>
      </c>
      <c r="I7" s="212">
        <v>553070643</v>
      </c>
      <c r="J7" s="216" t="s">
        <v>844</v>
      </c>
      <c r="K7" s="401" t="s">
        <v>55</v>
      </c>
      <c r="L7" s="404">
        <v>5</v>
      </c>
      <c r="M7" s="404">
        <v>5</v>
      </c>
    </row>
    <row r="8" spans="1:13" s="63" customFormat="1" ht="48.75" customHeight="1" thickTop="1" thickBot="1" x14ac:dyDescent="0.3">
      <c r="A8" s="627" t="s">
        <v>2540</v>
      </c>
      <c r="B8" s="627" t="s">
        <v>2541</v>
      </c>
      <c r="C8" s="404" t="s">
        <v>53</v>
      </c>
      <c r="D8" s="404">
        <v>2</v>
      </c>
      <c r="E8" s="404">
        <v>30</v>
      </c>
      <c r="F8" s="420">
        <v>3</v>
      </c>
      <c r="G8" s="404">
        <v>520</v>
      </c>
      <c r="H8" s="212">
        <v>75000000</v>
      </c>
      <c r="I8" s="212">
        <v>72912512</v>
      </c>
      <c r="J8" s="216" t="s">
        <v>845</v>
      </c>
      <c r="K8" s="401" t="s">
        <v>96</v>
      </c>
      <c r="L8" s="404">
        <v>1</v>
      </c>
      <c r="M8" s="404">
        <v>1</v>
      </c>
    </row>
    <row r="9" spans="1:13" s="63" customFormat="1" ht="48.75" customHeight="1" thickTop="1" thickBot="1" x14ac:dyDescent="0.3">
      <c r="A9" s="627" t="s">
        <v>2540</v>
      </c>
      <c r="B9" s="627" t="s">
        <v>2541</v>
      </c>
      <c r="C9" s="420" t="s">
        <v>53</v>
      </c>
      <c r="D9" s="404">
        <v>2</v>
      </c>
      <c r="E9" s="404">
        <v>30</v>
      </c>
      <c r="F9" s="420">
        <v>3</v>
      </c>
      <c r="G9" s="404">
        <v>520</v>
      </c>
      <c r="H9" s="212" t="s">
        <v>123</v>
      </c>
      <c r="I9" s="212" t="s">
        <v>123</v>
      </c>
      <c r="J9" s="216" t="s">
        <v>846</v>
      </c>
      <c r="K9" s="401" t="s">
        <v>13</v>
      </c>
      <c r="L9" s="404">
        <v>1</v>
      </c>
      <c r="M9" s="404">
        <v>0</v>
      </c>
    </row>
    <row r="10" spans="1:13" s="63" customFormat="1" ht="39.75" customHeight="1" thickTop="1" thickBot="1" x14ac:dyDescent="0.3">
      <c r="A10" s="627" t="s">
        <v>2540</v>
      </c>
      <c r="B10" s="627" t="s">
        <v>2541</v>
      </c>
      <c r="C10" s="404" t="s">
        <v>18</v>
      </c>
      <c r="D10" s="404">
        <v>2</v>
      </c>
      <c r="E10" s="404">
        <v>30</v>
      </c>
      <c r="F10" s="420">
        <v>3</v>
      </c>
      <c r="G10" s="404">
        <v>848</v>
      </c>
      <c r="H10" s="212">
        <v>300000000</v>
      </c>
      <c r="I10" s="212">
        <v>269640000</v>
      </c>
      <c r="J10" s="216" t="s">
        <v>847</v>
      </c>
      <c r="K10" s="401" t="s">
        <v>20</v>
      </c>
      <c r="L10" s="404">
        <v>321</v>
      </c>
      <c r="M10" s="404">
        <v>321</v>
      </c>
    </row>
    <row r="11" spans="1:13" s="152" customFormat="1" ht="21.6" customHeight="1" thickTop="1" thickBot="1" x14ac:dyDescent="0.3">
      <c r="A11" s="137"/>
      <c r="B11" s="430"/>
      <c r="C11" s="134"/>
      <c r="D11" s="23"/>
      <c r="E11" s="23"/>
      <c r="F11" s="23"/>
      <c r="G11" s="23"/>
      <c r="H11" s="151"/>
      <c r="I11" s="151"/>
      <c r="J11" s="134"/>
      <c r="K11" s="23"/>
      <c r="L11" s="25"/>
      <c r="M11" s="25"/>
    </row>
    <row r="12" spans="1:13" s="63" customFormat="1" ht="30" customHeight="1" thickTop="1" thickBot="1" x14ac:dyDescent="0.3">
      <c r="A12" s="639" t="s">
        <v>0</v>
      </c>
      <c r="B12" s="639" t="s">
        <v>1</v>
      </c>
      <c r="C12" s="639" t="s">
        <v>2569</v>
      </c>
      <c r="D12" s="636" t="s">
        <v>1961</v>
      </c>
      <c r="E12" s="637"/>
      <c r="F12" s="637"/>
      <c r="G12" s="638"/>
      <c r="H12" s="636" t="s">
        <v>3</v>
      </c>
      <c r="I12" s="637"/>
      <c r="J12" s="636" t="s">
        <v>1962</v>
      </c>
      <c r="K12" s="637"/>
      <c r="L12" s="637"/>
      <c r="M12" s="638"/>
    </row>
    <row r="13" spans="1:13" s="63" customFormat="1" ht="34.5" customHeight="1" thickTop="1" thickBot="1" x14ac:dyDescent="0.3">
      <c r="A13" s="640"/>
      <c r="B13" s="640"/>
      <c r="C13" s="640"/>
      <c r="D13" s="209" t="s">
        <v>4</v>
      </c>
      <c r="E13" s="209" t="s">
        <v>5</v>
      </c>
      <c r="F13" s="209" t="s">
        <v>6</v>
      </c>
      <c r="G13" s="209" t="s">
        <v>7</v>
      </c>
      <c r="H13" s="209" t="s">
        <v>2</v>
      </c>
      <c r="I13" s="209" t="s">
        <v>3</v>
      </c>
      <c r="J13" s="209" t="s">
        <v>8</v>
      </c>
      <c r="K13" s="389" t="s">
        <v>9</v>
      </c>
      <c r="L13" s="389" t="s">
        <v>1963</v>
      </c>
      <c r="M13" s="389" t="s">
        <v>1964</v>
      </c>
    </row>
    <row r="14" spans="1:13" s="63" customFormat="1" ht="48" customHeight="1" thickTop="1" thickBot="1" x14ac:dyDescent="0.3">
      <c r="A14" s="404" t="s">
        <v>902</v>
      </c>
      <c r="B14" s="404" t="s">
        <v>2541</v>
      </c>
      <c r="C14" s="420" t="s">
        <v>53</v>
      </c>
      <c r="D14" s="404">
        <v>2</v>
      </c>
      <c r="E14" s="404">
        <v>30</v>
      </c>
      <c r="F14" s="404">
        <v>3</v>
      </c>
      <c r="G14" s="404">
        <v>240</v>
      </c>
      <c r="H14" s="212">
        <v>0</v>
      </c>
      <c r="I14" s="212">
        <v>0</v>
      </c>
      <c r="J14" s="216" t="s">
        <v>903</v>
      </c>
      <c r="K14" s="340" t="s">
        <v>69</v>
      </c>
      <c r="L14" s="404">
        <v>6</v>
      </c>
      <c r="M14" s="404">
        <v>0</v>
      </c>
    </row>
    <row r="15" spans="1:13" s="63" customFormat="1" ht="51" customHeight="1" thickTop="1" thickBot="1" x14ac:dyDescent="0.3">
      <c r="A15" s="404" t="s">
        <v>902</v>
      </c>
      <c r="B15" s="627" t="s">
        <v>2541</v>
      </c>
      <c r="C15" s="404" t="s">
        <v>18</v>
      </c>
      <c r="D15" s="404">
        <v>2</v>
      </c>
      <c r="E15" s="404">
        <v>30</v>
      </c>
      <c r="F15" s="404">
        <v>3</v>
      </c>
      <c r="G15" s="404">
        <v>848</v>
      </c>
      <c r="H15" s="212">
        <v>222954349</v>
      </c>
      <c r="I15" s="212">
        <v>177157500</v>
      </c>
      <c r="J15" s="216" t="s">
        <v>848</v>
      </c>
      <c r="K15" s="401" t="s">
        <v>20</v>
      </c>
      <c r="L15" s="404">
        <v>300</v>
      </c>
      <c r="M15" s="404">
        <v>237</v>
      </c>
    </row>
    <row r="16" spans="1:13" s="63" customFormat="1" ht="48" customHeight="1" thickTop="1" thickBot="1" x14ac:dyDescent="0.3">
      <c r="A16" s="404" t="s">
        <v>902</v>
      </c>
      <c r="B16" s="627" t="s">
        <v>2541</v>
      </c>
      <c r="C16" s="404" t="s">
        <v>53</v>
      </c>
      <c r="D16" s="404">
        <v>3</v>
      </c>
      <c r="E16" s="404">
        <v>30</v>
      </c>
      <c r="F16" s="404">
        <v>3</v>
      </c>
      <c r="G16" s="404">
        <v>520</v>
      </c>
      <c r="H16" s="212">
        <v>270000000</v>
      </c>
      <c r="I16" s="212">
        <v>269000000</v>
      </c>
      <c r="J16" s="216" t="s">
        <v>287</v>
      </c>
      <c r="K16" s="401" t="s">
        <v>55</v>
      </c>
      <c r="L16" s="404">
        <v>6</v>
      </c>
      <c r="M16" s="404">
        <v>6</v>
      </c>
    </row>
    <row r="17" spans="1:13" s="63" customFormat="1" ht="48" customHeight="1" thickTop="1" thickBot="1" x14ac:dyDescent="0.3">
      <c r="A17" s="404" t="s">
        <v>902</v>
      </c>
      <c r="B17" s="627" t="s">
        <v>2541</v>
      </c>
      <c r="C17" s="404" t="s">
        <v>53</v>
      </c>
      <c r="D17" s="404">
        <v>3</v>
      </c>
      <c r="E17" s="404">
        <v>30</v>
      </c>
      <c r="F17" s="404">
        <v>3</v>
      </c>
      <c r="G17" s="404">
        <v>520</v>
      </c>
      <c r="H17" s="212">
        <v>550000000</v>
      </c>
      <c r="I17" s="212">
        <v>487053668</v>
      </c>
      <c r="J17" s="216" t="s">
        <v>849</v>
      </c>
      <c r="K17" s="401" t="s">
        <v>354</v>
      </c>
      <c r="L17" s="404">
        <v>10</v>
      </c>
      <c r="M17" s="404">
        <v>8.9</v>
      </c>
    </row>
    <row r="18" spans="1:13" s="63" customFormat="1" ht="41.25" customHeight="1" thickTop="1" thickBot="1" x14ac:dyDescent="0.3">
      <c r="A18" s="404" t="s">
        <v>902</v>
      </c>
      <c r="B18" s="627" t="s">
        <v>2541</v>
      </c>
      <c r="C18" s="405" t="s">
        <v>440</v>
      </c>
      <c r="D18" s="404">
        <v>3</v>
      </c>
      <c r="E18" s="404">
        <v>30</v>
      </c>
      <c r="F18" s="404">
        <v>3</v>
      </c>
      <c r="G18" s="404">
        <v>520</v>
      </c>
      <c r="H18" s="212">
        <v>0</v>
      </c>
      <c r="I18" s="212">
        <v>0</v>
      </c>
      <c r="J18" s="216" t="s">
        <v>850</v>
      </c>
      <c r="K18" s="401" t="s">
        <v>11</v>
      </c>
      <c r="L18" s="404">
        <v>640</v>
      </c>
      <c r="M18" s="404">
        <v>0</v>
      </c>
    </row>
    <row r="19" spans="1:13" s="63" customFormat="1" ht="41.25" customHeight="1" thickTop="1" thickBot="1" x14ac:dyDescent="0.3">
      <c r="A19" s="404" t="s">
        <v>902</v>
      </c>
      <c r="B19" s="627" t="s">
        <v>2541</v>
      </c>
      <c r="C19" s="405" t="s">
        <v>440</v>
      </c>
      <c r="D19" s="404">
        <v>3</v>
      </c>
      <c r="E19" s="404">
        <v>30</v>
      </c>
      <c r="F19" s="404">
        <v>3</v>
      </c>
      <c r="G19" s="404">
        <v>520</v>
      </c>
      <c r="H19" s="212">
        <v>148442212</v>
      </c>
      <c r="I19" s="212">
        <v>127066000</v>
      </c>
      <c r="J19" s="216" t="s">
        <v>904</v>
      </c>
      <c r="K19" s="401" t="s">
        <v>11</v>
      </c>
      <c r="L19" s="405">
        <v>64000</v>
      </c>
      <c r="M19" s="405">
        <v>55040</v>
      </c>
    </row>
    <row r="20" spans="1:13" s="63" customFormat="1" ht="41.25" customHeight="1" thickTop="1" thickBot="1" x14ac:dyDescent="0.3">
      <c r="A20" s="404" t="s">
        <v>902</v>
      </c>
      <c r="B20" s="627" t="s">
        <v>2541</v>
      </c>
      <c r="C20" s="404" t="s">
        <v>105</v>
      </c>
      <c r="D20" s="404">
        <v>3</v>
      </c>
      <c r="E20" s="404">
        <v>30</v>
      </c>
      <c r="F20" s="404">
        <v>3</v>
      </c>
      <c r="G20" s="404">
        <v>530</v>
      </c>
      <c r="H20" s="212">
        <v>127401443</v>
      </c>
      <c r="I20" s="212">
        <v>0</v>
      </c>
      <c r="J20" s="216" t="s">
        <v>851</v>
      </c>
      <c r="K20" s="401" t="s">
        <v>180</v>
      </c>
      <c r="L20" s="404">
        <v>3</v>
      </c>
      <c r="M20" s="404">
        <v>0</v>
      </c>
    </row>
    <row r="21" spans="1:13" s="152" customFormat="1" ht="14.25" thickTop="1" thickBot="1" x14ac:dyDescent="0.3">
      <c r="A21" s="153"/>
      <c r="B21" s="433"/>
      <c r="C21" s="134"/>
      <c r="D21" s="24"/>
      <c r="E21" s="24"/>
      <c r="F21" s="24"/>
      <c r="G21" s="24"/>
      <c r="H21" s="28"/>
      <c r="I21" s="154"/>
      <c r="J21" s="24"/>
      <c r="K21" s="24"/>
      <c r="L21" s="28"/>
      <c r="M21" s="28"/>
    </row>
    <row r="22" spans="1:13" s="63" customFormat="1" ht="30" customHeight="1" thickTop="1" thickBot="1" x14ac:dyDescent="0.3">
      <c r="A22" s="639" t="s">
        <v>0</v>
      </c>
      <c r="B22" s="639" t="s">
        <v>1</v>
      </c>
      <c r="C22" s="639" t="s">
        <v>2569</v>
      </c>
      <c r="D22" s="636" t="s">
        <v>1961</v>
      </c>
      <c r="E22" s="637"/>
      <c r="F22" s="637"/>
      <c r="G22" s="638"/>
      <c r="H22" s="636" t="s">
        <v>3</v>
      </c>
      <c r="I22" s="637"/>
      <c r="J22" s="636" t="s">
        <v>1962</v>
      </c>
      <c r="K22" s="637"/>
      <c r="L22" s="637"/>
      <c r="M22" s="638"/>
    </row>
    <row r="23" spans="1:13" s="63" customFormat="1" ht="34.5" customHeight="1" thickTop="1" thickBot="1" x14ac:dyDescent="0.3">
      <c r="A23" s="640"/>
      <c r="B23" s="640"/>
      <c r="C23" s="640"/>
      <c r="D23" s="209" t="s">
        <v>4</v>
      </c>
      <c r="E23" s="209" t="s">
        <v>5</v>
      </c>
      <c r="F23" s="209" t="s">
        <v>6</v>
      </c>
      <c r="G23" s="209" t="s">
        <v>7</v>
      </c>
      <c r="H23" s="209" t="s">
        <v>2</v>
      </c>
      <c r="I23" s="209" t="s">
        <v>3</v>
      </c>
      <c r="J23" s="209" t="s">
        <v>8</v>
      </c>
      <c r="K23" s="389" t="s">
        <v>9</v>
      </c>
      <c r="L23" s="389" t="s">
        <v>1963</v>
      </c>
      <c r="M23" s="389" t="s">
        <v>1964</v>
      </c>
    </row>
    <row r="24" spans="1:13" s="63" customFormat="1" ht="49.5" customHeight="1" thickTop="1" thickBot="1" x14ac:dyDescent="0.3">
      <c r="A24" s="404" t="s">
        <v>2470</v>
      </c>
      <c r="B24" s="404" t="s">
        <v>2541</v>
      </c>
      <c r="C24" s="404" t="s">
        <v>18</v>
      </c>
      <c r="D24" s="404">
        <v>3</v>
      </c>
      <c r="E24" s="404">
        <v>30</v>
      </c>
      <c r="F24" s="404">
        <v>3</v>
      </c>
      <c r="G24" s="404">
        <v>848</v>
      </c>
      <c r="H24" s="212">
        <v>387095330</v>
      </c>
      <c r="I24" s="212">
        <v>142870000</v>
      </c>
      <c r="J24" s="216" t="s">
        <v>852</v>
      </c>
      <c r="K24" s="401" t="s">
        <v>20</v>
      </c>
      <c r="L24" s="404">
        <v>149</v>
      </c>
      <c r="M24" s="404">
        <v>55</v>
      </c>
    </row>
    <row r="25" spans="1:13" s="63" customFormat="1" ht="41.25" customHeight="1" thickTop="1" thickBot="1" x14ac:dyDescent="0.3">
      <c r="A25" s="623" t="s">
        <v>2470</v>
      </c>
      <c r="B25" s="627" t="s">
        <v>2541</v>
      </c>
      <c r="C25" s="649" t="s">
        <v>53</v>
      </c>
      <c r="D25" s="404">
        <v>3</v>
      </c>
      <c r="E25" s="404">
        <v>30</v>
      </c>
      <c r="F25" s="404">
        <v>3</v>
      </c>
      <c r="G25" s="404">
        <v>520</v>
      </c>
      <c r="H25" s="212">
        <v>75000000</v>
      </c>
      <c r="I25" s="212">
        <v>0</v>
      </c>
      <c r="J25" s="216" t="s">
        <v>853</v>
      </c>
      <c r="K25" s="401" t="s">
        <v>103</v>
      </c>
      <c r="L25" s="404">
        <v>1</v>
      </c>
      <c r="M25" s="404">
        <v>0</v>
      </c>
    </row>
    <row r="26" spans="1:13" s="63" customFormat="1" ht="63" customHeight="1" thickTop="1" thickBot="1" x14ac:dyDescent="0.3">
      <c r="A26" s="623" t="s">
        <v>2470</v>
      </c>
      <c r="B26" s="627" t="s">
        <v>2541</v>
      </c>
      <c r="C26" s="650"/>
      <c r="D26" s="404">
        <v>3</v>
      </c>
      <c r="E26" s="404">
        <v>30</v>
      </c>
      <c r="F26" s="404">
        <v>3</v>
      </c>
      <c r="G26" s="404">
        <v>520</v>
      </c>
      <c r="H26" s="212">
        <f>308765782+242881237</f>
        <v>551647019</v>
      </c>
      <c r="I26" s="212">
        <v>79153199</v>
      </c>
      <c r="J26" s="216" t="s">
        <v>854</v>
      </c>
      <c r="K26" s="401" t="s">
        <v>13</v>
      </c>
      <c r="L26" s="404">
        <v>4</v>
      </c>
      <c r="M26" s="404">
        <v>1</v>
      </c>
    </row>
    <row r="27" spans="1:13" s="63" customFormat="1" ht="44.25" customHeight="1" thickTop="1" thickBot="1" x14ac:dyDescent="0.3">
      <c r="A27" s="623" t="s">
        <v>2470</v>
      </c>
      <c r="B27" s="627" t="s">
        <v>2541</v>
      </c>
      <c r="C27" s="649" t="s">
        <v>2102</v>
      </c>
      <c r="D27" s="404">
        <v>3</v>
      </c>
      <c r="E27" s="404">
        <v>30</v>
      </c>
      <c r="F27" s="404">
        <v>3</v>
      </c>
      <c r="G27" s="404">
        <v>520</v>
      </c>
      <c r="H27" s="212">
        <v>187671115</v>
      </c>
      <c r="I27" s="212">
        <v>0</v>
      </c>
      <c r="J27" s="216" t="s">
        <v>855</v>
      </c>
      <c r="K27" s="401" t="s">
        <v>11</v>
      </c>
      <c r="L27" s="405">
        <v>3127</v>
      </c>
      <c r="M27" s="404">
        <v>0</v>
      </c>
    </row>
    <row r="28" spans="1:13" s="63" customFormat="1" ht="44.25" customHeight="1" thickTop="1" thickBot="1" x14ac:dyDescent="0.3">
      <c r="A28" s="623" t="s">
        <v>2470</v>
      </c>
      <c r="B28" s="627" t="s">
        <v>2541</v>
      </c>
      <c r="C28" s="650"/>
      <c r="D28" s="404">
        <v>3</v>
      </c>
      <c r="E28" s="404">
        <v>30</v>
      </c>
      <c r="F28" s="404">
        <v>3</v>
      </c>
      <c r="G28" s="404">
        <v>530</v>
      </c>
      <c r="H28" s="212">
        <v>1000000</v>
      </c>
      <c r="I28" s="212">
        <v>0</v>
      </c>
      <c r="J28" s="216" t="s">
        <v>856</v>
      </c>
      <c r="K28" s="401" t="s">
        <v>17</v>
      </c>
      <c r="L28" s="404">
        <v>1</v>
      </c>
      <c r="M28" s="404">
        <v>0</v>
      </c>
    </row>
    <row r="29" spans="1:13" s="63" customFormat="1" ht="45" customHeight="1" thickTop="1" thickBot="1" x14ac:dyDescent="0.3">
      <c r="A29" s="623" t="s">
        <v>2470</v>
      </c>
      <c r="B29" s="627" t="s">
        <v>2541</v>
      </c>
      <c r="C29" s="404" t="s">
        <v>105</v>
      </c>
      <c r="D29" s="404">
        <v>3</v>
      </c>
      <c r="E29" s="404">
        <v>30</v>
      </c>
      <c r="F29" s="404">
        <v>3</v>
      </c>
      <c r="G29" s="404">
        <v>540</v>
      </c>
      <c r="H29" s="212">
        <v>1000000</v>
      </c>
      <c r="I29" s="212">
        <v>0</v>
      </c>
      <c r="J29" s="216" t="s">
        <v>857</v>
      </c>
      <c r="K29" s="401" t="s">
        <v>180</v>
      </c>
      <c r="L29" s="404">
        <v>1</v>
      </c>
      <c r="M29" s="404">
        <v>0</v>
      </c>
    </row>
    <row r="30" spans="1:13" s="63" customFormat="1" ht="40.5" customHeight="1" thickTop="1" thickBot="1" x14ac:dyDescent="0.3">
      <c r="A30" s="623" t="s">
        <v>2470</v>
      </c>
      <c r="B30" s="627" t="s">
        <v>2541</v>
      </c>
      <c r="C30" s="649" t="s">
        <v>53</v>
      </c>
      <c r="D30" s="404">
        <v>3</v>
      </c>
      <c r="E30" s="404">
        <v>30</v>
      </c>
      <c r="F30" s="404">
        <v>3</v>
      </c>
      <c r="G30" s="404">
        <v>590</v>
      </c>
      <c r="H30" s="212">
        <v>1000000</v>
      </c>
      <c r="I30" s="212">
        <v>0</v>
      </c>
      <c r="J30" s="216" t="s">
        <v>858</v>
      </c>
      <c r="K30" s="401" t="s">
        <v>55</v>
      </c>
      <c r="L30" s="404">
        <v>1</v>
      </c>
      <c r="M30" s="404">
        <v>0</v>
      </c>
    </row>
    <row r="31" spans="1:13" s="63" customFormat="1" ht="69" customHeight="1" thickTop="1" thickBot="1" x14ac:dyDescent="0.3">
      <c r="A31" s="623" t="s">
        <v>2470</v>
      </c>
      <c r="B31" s="627" t="s">
        <v>2541</v>
      </c>
      <c r="C31" s="650"/>
      <c r="D31" s="404">
        <v>3</v>
      </c>
      <c r="E31" s="404">
        <v>30</v>
      </c>
      <c r="F31" s="404">
        <v>3</v>
      </c>
      <c r="G31" s="404">
        <v>980</v>
      </c>
      <c r="H31" s="212">
        <v>85904303</v>
      </c>
      <c r="I31" s="212">
        <v>0</v>
      </c>
      <c r="J31" s="216" t="s">
        <v>859</v>
      </c>
      <c r="K31" s="401" t="s">
        <v>16</v>
      </c>
      <c r="L31" s="404">
        <v>3</v>
      </c>
      <c r="M31" s="404">
        <v>0</v>
      </c>
    </row>
    <row r="32" spans="1:13" s="152" customFormat="1" ht="19.149999999999999" customHeight="1" thickTop="1" thickBot="1" x14ac:dyDescent="0.3">
      <c r="A32" s="136"/>
      <c r="B32" s="431"/>
      <c r="C32" s="138"/>
      <c r="D32" s="139"/>
      <c r="E32" s="139"/>
      <c r="F32" s="139"/>
      <c r="G32" s="139"/>
      <c r="H32" s="139"/>
      <c r="I32" s="139"/>
      <c r="J32" s="138"/>
      <c r="K32" s="139"/>
      <c r="L32" s="139"/>
      <c r="M32" s="139"/>
    </row>
    <row r="33" spans="1:13" s="63" customFormat="1" ht="30" customHeight="1" thickTop="1" thickBot="1" x14ac:dyDescent="0.3">
      <c r="A33" s="639" t="s">
        <v>0</v>
      </c>
      <c r="B33" s="639" t="s">
        <v>1</v>
      </c>
      <c r="C33" s="639" t="s">
        <v>2569</v>
      </c>
      <c r="D33" s="636" t="s">
        <v>1961</v>
      </c>
      <c r="E33" s="637"/>
      <c r="F33" s="637"/>
      <c r="G33" s="638"/>
      <c r="H33" s="636" t="s">
        <v>3</v>
      </c>
      <c r="I33" s="637"/>
      <c r="J33" s="636" t="s">
        <v>1962</v>
      </c>
      <c r="K33" s="637"/>
      <c r="L33" s="637"/>
      <c r="M33" s="638"/>
    </row>
    <row r="34" spans="1:13" s="63" customFormat="1" ht="34.5" customHeight="1" thickTop="1" thickBot="1" x14ac:dyDescent="0.3">
      <c r="A34" s="640"/>
      <c r="B34" s="640"/>
      <c r="C34" s="640"/>
      <c r="D34" s="209" t="s">
        <v>4</v>
      </c>
      <c r="E34" s="209" t="s">
        <v>5</v>
      </c>
      <c r="F34" s="209" t="s">
        <v>6</v>
      </c>
      <c r="G34" s="209" t="s">
        <v>7</v>
      </c>
      <c r="H34" s="209" t="s">
        <v>2</v>
      </c>
      <c r="I34" s="209" t="s">
        <v>3</v>
      </c>
      <c r="J34" s="209" t="s">
        <v>8</v>
      </c>
      <c r="K34" s="389" t="s">
        <v>9</v>
      </c>
      <c r="L34" s="389" t="s">
        <v>1963</v>
      </c>
      <c r="M34" s="389" t="s">
        <v>1964</v>
      </c>
    </row>
    <row r="35" spans="1:13" s="63" customFormat="1" ht="42" customHeight="1" thickTop="1" thickBot="1" x14ac:dyDescent="0.3">
      <c r="A35" s="404" t="s">
        <v>905</v>
      </c>
      <c r="B35" s="627" t="s">
        <v>2541</v>
      </c>
      <c r="C35" s="404" t="s">
        <v>723</v>
      </c>
      <c r="D35" s="404">
        <v>2</v>
      </c>
      <c r="E35" s="404">
        <v>30</v>
      </c>
      <c r="F35" s="404" t="s">
        <v>843</v>
      </c>
      <c r="G35" s="404">
        <v>848</v>
      </c>
      <c r="H35" s="212">
        <v>240000000</v>
      </c>
      <c r="I35" s="212">
        <v>78451200</v>
      </c>
      <c r="J35" s="216" t="s">
        <v>907</v>
      </c>
      <c r="K35" s="401" t="s">
        <v>20</v>
      </c>
      <c r="L35" s="404">
        <v>96</v>
      </c>
      <c r="M35" s="404">
        <v>96</v>
      </c>
    </row>
    <row r="36" spans="1:13" s="63" customFormat="1" ht="41.25" customHeight="1" thickTop="1" thickBot="1" x14ac:dyDescent="0.3">
      <c r="A36" s="404" t="s">
        <v>905</v>
      </c>
      <c r="B36" s="627" t="s">
        <v>2541</v>
      </c>
      <c r="C36" s="651" t="s">
        <v>53</v>
      </c>
      <c r="D36" s="404">
        <v>2</v>
      </c>
      <c r="E36" s="404">
        <v>30</v>
      </c>
      <c r="F36" s="404" t="s">
        <v>843</v>
      </c>
      <c r="G36" s="404">
        <v>520</v>
      </c>
      <c r="H36" s="212">
        <v>85000000</v>
      </c>
      <c r="I36" s="212">
        <v>84096969</v>
      </c>
      <c r="J36" s="216" t="s">
        <v>908</v>
      </c>
      <c r="K36" s="401" t="s">
        <v>96</v>
      </c>
      <c r="L36" s="404">
        <v>2</v>
      </c>
      <c r="M36" s="404">
        <v>2</v>
      </c>
    </row>
    <row r="37" spans="1:13" s="63" customFormat="1" ht="32.25" customHeight="1" thickTop="1" thickBot="1" x14ac:dyDescent="0.3">
      <c r="A37" s="404" t="s">
        <v>905</v>
      </c>
      <c r="B37" s="627" t="s">
        <v>2541</v>
      </c>
      <c r="C37" s="652"/>
      <c r="D37" s="404">
        <v>2</v>
      </c>
      <c r="E37" s="404">
        <v>30</v>
      </c>
      <c r="F37" s="404" t="s">
        <v>843</v>
      </c>
      <c r="G37" s="404">
        <v>520</v>
      </c>
      <c r="H37" s="212">
        <v>88000000</v>
      </c>
      <c r="I37" s="212">
        <v>86285800</v>
      </c>
      <c r="J37" s="216" t="s">
        <v>909</v>
      </c>
      <c r="K37" s="401" t="s">
        <v>276</v>
      </c>
      <c r="L37" s="404">
        <v>1</v>
      </c>
      <c r="M37" s="404">
        <v>1</v>
      </c>
    </row>
    <row r="38" spans="1:13" s="63" customFormat="1" ht="42.75" customHeight="1" thickTop="1" thickBot="1" x14ac:dyDescent="0.3">
      <c r="A38" s="404" t="s">
        <v>905</v>
      </c>
      <c r="B38" s="627" t="s">
        <v>2541</v>
      </c>
      <c r="C38" s="653"/>
      <c r="D38" s="404">
        <v>2</v>
      </c>
      <c r="E38" s="404">
        <v>30</v>
      </c>
      <c r="F38" s="404" t="s">
        <v>843</v>
      </c>
      <c r="G38" s="404">
        <v>520</v>
      </c>
      <c r="H38" s="212">
        <v>387000000</v>
      </c>
      <c r="I38" s="212">
        <v>382900000</v>
      </c>
      <c r="J38" s="216" t="s">
        <v>910</v>
      </c>
      <c r="K38" s="401" t="s">
        <v>495</v>
      </c>
      <c r="L38" s="404">
        <v>3</v>
      </c>
      <c r="M38" s="404">
        <v>3</v>
      </c>
    </row>
    <row r="39" spans="1:13" s="152" customFormat="1" ht="17.45" customHeight="1" thickTop="1" thickBot="1" x14ac:dyDescent="0.3">
      <c r="A39" s="137"/>
      <c r="B39" s="432"/>
      <c r="C39" s="156"/>
      <c r="D39" s="155"/>
      <c r="E39" s="155"/>
      <c r="F39" s="155"/>
      <c r="G39" s="155"/>
      <c r="H39" s="139"/>
      <c r="I39" s="139"/>
      <c r="J39" s="138"/>
      <c r="K39" s="155"/>
      <c r="L39" s="155"/>
      <c r="M39" s="155"/>
    </row>
    <row r="40" spans="1:13" s="63" customFormat="1" ht="30" customHeight="1" thickTop="1" thickBot="1" x14ac:dyDescent="0.3">
      <c r="A40" s="639" t="s">
        <v>0</v>
      </c>
      <c r="B40" s="639" t="s">
        <v>1</v>
      </c>
      <c r="C40" s="639" t="s">
        <v>2569</v>
      </c>
      <c r="D40" s="636" t="s">
        <v>1961</v>
      </c>
      <c r="E40" s="637"/>
      <c r="F40" s="637"/>
      <c r="G40" s="638"/>
      <c r="H40" s="636" t="s">
        <v>3</v>
      </c>
      <c r="I40" s="637"/>
      <c r="J40" s="636" t="s">
        <v>1962</v>
      </c>
      <c r="K40" s="637"/>
      <c r="L40" s="637"/>
      <c r="M40" s="638"/>
    </row>
    <row r="41" spans="1:13" s="63" customFormat="1" ht="34.5" customHeight="1" thickTop="1" thickBot="1" x14ac:dyDescent="0.3">
      <c r="A41" s="640"/>
      <c r="B41" s="640"/>
      <c r="C41" s="640"/>
      <c r="D41" s="209" t="s">
        <v>4</v>
      </c>
      <c r="E41" s="209" t="s">
        <v>5</v>
      </c>
      <c r="F41" s="209" t="s">
        <v>6</v>
      </c>
      <c r="G41" s="209" t="s">
        <v>7</v>
      </c>
      <c r="H41" s="209" t="s">
        <v>2</v>
      </c>
      <c r="I41" s="209" t="s">
        <v>3</v>
      </c>
      <c r="J41" s="209" t="s">
        <v>8</v>
      </c>
      <c r="K41" s="389" t="s">
        <v>9</v>
      </c>
      <c r="L41" s="389" t="s">
        <v>1963</v>
      </c>
      <c r="M41" s="389" t="s">
        <v>1964</v>
      </c>
    </row>
    <row r="42" spans="1:13" s="63" customFormat="1" ht="54.75" customHeight="1" thickTop="1" thickBot="1" x14ac:dyDescent="0.3">
      <c r="A42" s="404" t="s">
        <v>2471</v>
      </c>
      <c r="B42" s="627" t="s">
        <v>2541</v>
      </c>
      <c r="C42" s="404" t="s">
        <v>723</v>
      </c>
      <c r="D42" s="404">
        <v>2</v>
      </c>
      <c r="E42" s="404">
        <v>30</v>
      </c>
      <c r="F42" s="404">
        <v>3</v>
      </c>
      <c r="G42" s="404">
        <v>848</v>
      </c>
      <c r="H42" s="212">
        <v>639413759</v>
      </c>
      <c r="I42" s="212">
        <v>451440000</v>
      </c>
      <c r="J42" s="216" t="s">
        <v>911</v>
      </c>
      <c r="K42" s="401" t="s">
        <v>20</v>
      </c>
      <c r="L42" s="404">
        <v>482</v>
      </c>
      <c r="M42" s="404">
        <v>340</v>
      </c>
    </row>
    <row r="43" spans="1:13" s="63" customFormat="1" ht="34.5" customHeight="1" thickTop="1" thickBot="1" x14ac:dyDescent="0.3">
      <c r="A43" s="623" t="s">
        <v>2471</v>
      </c>
      <c r="B43" s="627" t="s">
        <v>2541</v>
      </c>
      <c r="C43" s="649" t="s">
        <v>53</v>
      </c>
      <c r="D43" s="404">
        <v>2</v>
      </c>
      <c r="E43" s="404">
        <v>30</v>
      </c>
      <c r="F43" s="404">
        <v>3</v>
      </c>
      <c r="G43" s="404">
        <v>521</v>
      </c>
      <c r="H43" s="212">
        <v>1081919720</v>
      </c>
      <c r="I43" s="212">
        <v>581932974</v>
      </c>
      <c r="J43" s="216" t="s">
        <v>912</v>
      </c>
      <c r="K43" s="401" t="s">
        <v>55</v>
      </c>
      <c r="L43" s="404">
        <v>18</v>
      </c>
      <c r="M43" s="404">
        <v>11</v>
      </c>
    </row>
    <row r="44" spans="1:13" s="63" customFormat="1" ht="51" customHeight="1" thickTop="1" thickBot="1" x14ac:dyDescent="0.3">
      <c r="A44" s="623" t="s">
        <v>2471</v>
      </c>
      <c r="B44" s="627" t="s">
        <v>2541</v>
      </c>
      <c r="C44" s="650"/>
      <c r="D44" s="404">
        <v>2</v>
      </c>
      <c r="E44" s="404">
        <v>30</v>
      </c>
      <c r="F44" s="404">
        <v>3</v>
      </c>
      <c r="G44" s="404">
        <v>980</v>
      </c>
      <c r="H44" s="212">
        <v>111652632</v>
      </c>
      <c r="I44" s="212">
        <v>111652632</v>
      </c>
      <c r="J44" s="216" t="s">
        <v>914</v>
      </c>
      <c r="K44" s="401" t="s">
        <v>16</v>
      </c>
      <c r="L44" s="404">
        <v>2</v>
      </c>
      <c r="M44" s="404">
        <v>2</v>
      </c>
    </row>
    <row r="45" spans="1:13" s="152" customFormat="1" ht="16.899999999999999" customHeight="1" thickTop="1" thickBot="1" x14ac:dyDescent="0.3">
      <c r="A45" s="137"/>
      <c r="B45" s="432"/>
      <c r="C45" s="24"/>
      <c r="D45" s="24"/>
      <c r="E45" s="24"/>
      <c r="F45" s="24"/>
      <c r="G45" s="24"/>
      <c r="H45" s="24"/>
      <c r="I45" s="24"/>
      <c r="J45" s="24"/>
      <c r="K45" s="24"/>
      <c r="L45" s="24"/>
      <c r="M45" s="24"/>
    </row>
    <row r="46" spans="1:13" s="63" customFormat="1" ht="30.75" customHeight="1" thickTop="1" thickBot="1" x14ac:dyDescent="0.3">
      <c r="A46" s="639" t="s">
        <v>0</v>
      </c>
      <c r="B46" s="639" t="s">
        <v>1</v>
      </c>
      <c r="C46" s="639" t="s">
        <v>2569</v>
      </c>
      <c r="D46" s="636" t="s">
        <v>1961</v>
      </c>
      <c r="E46" s="637"/>
      <c r="F46" s="637"/>
      <c r="G46" s="638"/>
      <c r="H46" s="636" t="s">
        <v>3</v>
      </c>
      <c r="I46" s="637"/>
      <c r="J46" s="636" t="s">
        <v>1962</v>
      </c>
      <c r="K46" s="637"/>
      <c r="L46" s="637"/>
      <c r="M46" s="638"/>
    </row>
    <row r="47" spans="1:13" s="63" customFormat="1" ht="34.5" customHeight="1" thickTop="1" thickBot="1" x14ac:dyDescent="0.3">
      <c r="A47" s="640"/>
      <c r="B47" s="640"/>
      <c r="C47" s="640"/>
      <c r="D47" s="209" t="s">
        <v>4</v>
      </c>
      <c r="E47" s="209" t="s">
        <v>5</v>
      </c>
      <c r="F47" s="209" t="s">
        <v>6</v>
      </c>
      <c r="G47" s="209" t="s">
        <v>7</v>
      </c>
      <c r="H47" s="209" t="s">
        <v>2</v>
      </c>
      <c r="I47" s="209" t="s">
        <v>3</v>
      </c>
      <c r="J47" s="209" t="s">
        <v>8</v>
      </c>
      <c r="K47" s="389" t="s">
        <v>9</v>
      </c>
      <c r="L47" s="389" t="s">
        <v>1963</v>
      </c>
      <c r="M47" s="389" t="s">
        <v>1964</v>
      </c>
    </row>
    <row r="48" spans="1:13" s="63" customFormat="1" ht="54" customHeight="1" thickTop="1" thickBot="1" x14ac:dyDescent="0.3">
      <c r="A48" s="404" t="s">
        <v>915</v>
      </c>
      <c r="B48" s="627" t="s">
        <v>2541</v>
      </c>
      <c r="C48" s="404" t="s">
        <v>723</v>
      </c>
      <c r="D48" s="404">
        <v>3</v>
      </c>
      <c r="E48" s="404">
        <v>30</v>
      </c>
      <c r="F48" s="404">
        <v>3</v>
      </c>
      <c r="G48" s="404">
        <v>848</v>
      </c>
      <c r="H48" s="212">
        <v>332478214</v>
      </c>
      <c r="I48" s="212">
        <v>332478214</v>
      </c>
      <c r="J48" s="216" t="s">
        <v>916</v>
      </c>
      <c r="K48" s="401" t="s">
        <v>20</v>
      </c>
      <c r="L48" s="404">
        <v>281</v>
      </c>
      <c r="M48" s="404">
        <v>281</v>
      </c>
    </row>
    <row r="49" spans="1:13" s="63" customFormat="1" ht="35.25" customHeight="1" thickTop="1" thickBot="1" x14ac:dyDescent="0.3">
      <c r="A49" s="404" t="s">
        <v>915</v>
      </c>
      <c r="B49" s="627" t="s">
        <v>2541</v>
      </c>
      <c r="C49" s="649" t="s">
        <v>53</v>
      </c>
      <c r="D49" s="404">
        <v>3</v>
      </c>
      <c r="E49" s="404">
        <v>30</v>
      </c>
      <c r="F49" s="404">
        <v>3</v>
      </c>
      <c r="G49" s="404">
        <v>520</v>
      </c>
      <c r="H49" s="212"/>
      <c r="I49" s="212">
        <v>0</v>
      </c>
      <c r="J49" s="216" t="s">
        <v>917</v>
      </c>
      <c r="K49" s="401" t="s">
        <v>55</v>
      </c>
      <c r="L49" s="404">
        <v>7</v>
      </c>
      <c r="M49" s="404">
        <v>0</v>
      </c>
    </row>
    <row r="50" spans="1:13" s="63" customFormat="1" ht="39" customHeight="1" thickTop="1" thickBot="1" x14ac:dyDescent="0.3">
      <c r="A50" s="404" t="s">
        <v>915</v>
      </c>
      <c r="B50" s="627" t="s">
        <v>2541</v>
      </c>
      <c r="C50" s="665"/>
      <c r="D50" s="404">
        <v>3</v>
      </c>
      <c r="E50" s="404">
        <v>30</v>
      </c>
      <c r="F50" s="404">
        <v>3</v>
      </c>
      <c r="G50" s="404">
        <v>520</v>
      </c>
      <c r="H50" s="212">
        <v>107234153</v>
      </c>
      <c r="I50" s="212">
        <v>107234153</v>
      </c>
      <c r="J50" s="216" t="s">
        <v>918</v>
      </c>
      <c r="K50" s="401" t="s">
        <v>25</v>
      </c>
      <c r="L50" s="404">
        <v>1</v>
      </c>
      <c r="M50" s="404">
        <v>1</v>
      </c>
    </row>
    <row r="51" spans="1:13" s="63" customFormat="1" ht="39.75" customHeight="1" thickTop="1" thickBot="1" x14ac:dyDescent="0.3">
      <c r="A51" s="404" t="s">
        <v>915</v>
      </c>
      <c r="B51" s="627" t="s">
        <v>2541</v>
      </c>
      <c r="C51" s="404" t="s">
        <v>2102</v>
      </c>
      <c r="D51" s="404">
        <v>3</v>
      </c>
      <c r="E51" s="404">
        <v>30</v>
      </c>
      <c r="F51" s="404">
        <v>3</v>
      </c>
      <c r="G51" s="404">
        <v>520</v>
      </c>
      <c r="H51" s="212">
        <v>87469650</v>
      </c>
      <c r="I51" s="212">
        <v>87469650</v>
      </c>
      <c r="J51" s="216" t="s">
        <v>919</v>
      </c>
      <c r="K51" s="401" t="s">
        <v>95</v>
      </c>
      <c r="L51" s="405">
        <v>1350</v>
      </c>
      <c r="M51" s="405">
        <v>1350</v>
      </c>
    </row>
    <row r="52" spans="1:13" s="63" customFormat="1" ht="42.75" customHeight="1" thickTop="1" thickBot="1" x14ac:dyDescent="0.3">
      <c r="A52" s="404" t="s">
        <v>915</v>
      </c>
      <c r="B52" s="627" t="s">
        <v>2541</v>
      </c>
      <c r="C52" s="649" t="s">
        <v>53</v>
      </c>
      <c r="D52" s="404">
        <v>3</v>
      </c>
      <c r="E52" s="404">
        <v>30</v>
      </c>
      <c r="F52" s="404">
        <v>3</v>
      </c>
      <c r="G52" s="404">
        <v>520</v>
      </c>
      <c r="H52" s="212">
        <v>116995333</v>
      </c>
      <c r="I52" s="212">
        <v>116995333</v>
      </c>
      <c r="J52" s="216" t="s">
        <v>920</v>
      </c>
      <c r="K52" s="401" t="s">
        <v>95</v>
      </c>
      <c r="L52" s="404">
        <v>459</v>
      </c>
      <c r="M52" s="404">
        <v>459</v>
      </c>
    </row>
    <row r="53" spans="1:13" s="63" customFormat="1" ht="36.75" customHeight="1" thickTop="1" thickBot="1" x14ac:dyDescent="0.3">
      <c r="A53" s="404" t="s">
        <v>915</v>
      </c>
      <c r="B53" s="627" t="s">
        <v>2541</v>
      </c>
      <c r="C53" s="665"/>
      <c r="D53" s="404">
        <v>3</v>
      </c>
      <c r="E53" s="404">
        <v>30</v>
      </c>
      <c r="F53" s="404">
        <v>3</v>
      </c>
      <c r="G53" s="404">
        <v>520</v>
      </c>
      <c r="H53" s="212">
        <v>71600000</v>
      </c>
      <c r="I53" s="212">
        <v>71599998</v>
      </c>
      <c r="J53" s="216" t="s">
        <v>921</v>
      </c>
      <c r="K53" s="401" t="s">
        <v>95</v>
      </c>
      <c r="L53" s="404">
        <v>950</v>
      </c>
      <c r="M53" s="404">
        <v>950</v>
      </c>
    </row>
    <row r="54" spans="1:13" s="63" customFormat="1" ht="37.5" customHeight="1" thickTop="1" thickBot="1" x14ac:dyDescent="0.3">
      <c r="A54" s="404" t="s">
        <v>915</v>
      </c>
      <c r="B54" s="627" t="s">
        <v>2541</v>
      </c>
      <c r="C54" s="665"/>
      <c r="D54" s="404">
        <v>3</v>
      </c>
      <c r="E54" s="404">
        <v>30</v>
      </c>
      <c r="F54" s="404">
        <v>3</v>
      </c>
      <c r="G54" s="404">
        <v>520</v>
      </c>
      <c r="H54" s="212">
        <v>134522147</v>
      </c>
      <c r="I54" s="212">
        <v>134522147</v>
      </c>
      <c r="J54" s="216" t="s">
        <v>922</v>
      </c>
      <c r="K54" s="401" t="s">
        <v>55</v>
      </c>
      <c r="L54" s="404">
        <v>1</v>
      </c>
      <c r="M54" s="404">
        <v>1</v>
      </c>
    </row>
    <row r="55" spans="1:13" s="63" customFormat="1" ht="42.75" customHeight="1" thickTop="1" thickBot="1" x14ac:dyDescent="0.3">
      <c r="A55" s="404" t="s">
        <v>915</v>
      </c>
      <c r="B55" s="627" t="s">
        <v>2541</v>
      </c>
      <c r="C55" s="665"/>
      <c r="D55" s="404">
        <v>3</v>
      </c>
      <c r="E55" s="404">
        <v>30</v>
      </c>
      <c r="F55" s="404">
        <v>3</v>
      </c>
      <c r="G55" s="404">
        <v>520</v>
      </c>
      <c r="H55" s="212">
        <v>80327821</v>
      </c>
      <c r="I55" s="212">
        <v>80327821</v>
      </c>
      <c r="J55" s="216" t="s">
        <v>923</v>
      </c>
      <c r="K55" s="401" t="s">
        <v>25</v>
      </c>
      <c r="L55" s="404">
        <v>1</v>
      </c>
      <c r="M55" s="404">
        <v>1</v>
      </c>
    </row>
    <row r="56" spans="1:13" s="63" customFormat="1" ht="42.75" customHeight="1" thickTop="1" thickBot="1" x14ac:dyDescent="0.3">
      <c r="A56" s="404" t="s">
        <v>915</v>
      </c>
      <c r="B56" s="627" t="s">
        <v>2541</v>
      </c>
      <c r="C56" s="665"/>
      <c r="D56" s="404">
        <v>3</v>
      </c>
      <c r="E56" s="404">
        <v>30</v>
      </c>
      <c r="F56" s="404">
        <v>3</v>
      </c>
      <c r="G56" s="404">
        <v>520</v>
      </c>
      <c r="H56" s="212">
        <v>120000000</v>
      </c>
      <c r="I56" s="212">
        <v>120000000</v>
      </c>
      <c r="J56" s="216" t="s">
        <v>924</v>
      </c>
      <c r="K56" s="401" t="s">
        <v>55</v>
      </c>
      <c r="L56" s="404">
        <v>1</v>
      </c>
      <c r="M56" s="404">
        <v>1</v>
      </c>
    </row>
    <row r="57" spans="1:13" s="63" customFormat="1" ht="36" customHeight="1" thickTop="1" thickBot="1" x14ac:dyDescent="0.3">
      <c r="A57" s="404" t="s">
        <v>915</v>
      </c>
      <c r="B57" s="627" t="s">
        <v>2541</v>
      </c>
      <c r="C57" s="665"/>
      <c r="D57" s="404">
        <v>3</v>
      </c>
      <c r="E57" s="404">
        <v>30</v>
      </c>
      <c r="F57" s="404">
        <v>3</v>
      </c>
      <c r="G57" s="404">
        <v>520</v>
      </c>
      <c r="H57" s="212">
        <v>144000000</v>
      </c>
      <c r="I57" s="212">
        <v>144000000</v>
      </c>
      <c r="J57" s="216" t="s">
        <v>925</v>
      </c>
      <c r="K57" s="401" t="s">
        <v>354</v>
      </c>
      <c r="L57" s="404">
        <v>1</v>
      </c>
      <c r="M57" s="404">
        <v>1</v>
      </c>
    </row>
    <row r="58" spans="1:13" s="63" customFormat="1" ht="36" customHeight="1" thickTop="1" thickBot="1" x14ac:dyDescent="0.3">
      <c r="A58" s="394" t="s">
        <v>915</v>
      </c>
      <c r="B58" s="627" t="s">
        <v>2541</v>
      </c>
      <c r="C58" s="665"/>
      <c r="D58" s="394">
        <v>3</v>
      </c>
      <c r="E58" s="394">
        <v>30</v>
      </c>
      <c r="F58" s="394">
        <v>3</v>
      </c>
      <c r="G58" s="394">
        <v>520</v>
      </c>
      <c r="H58" s="390">
        <v>118700000</v>
      </c>
      <c r="I58" s="390">
        <v>118700000</v>
      </c>
      <c r="J58" s="427" t="s">
        <v>926</v>
      </c>
      <c r="K58" s="402" t="s">
        <v>55</v>
      </c>
      <c r="L58" s="394">
        <v>1</v>
      </c>
      <c r="M58" s="394">
        <v>1</v>
      </c>
    </row>
    <row r="59" spans="1:13" s="152" customFormat="1" ht="48.75" customHeight="1" thickTop="1" thickBot="1" x14ac:dyDescent="0.3">
      <c r="A59" s="404" t="s">
        <v>915</v>
      </c>
      <c r="B59" s="627" t="s">
        <v>2541</v>
      </c>
      <c r="C59" s="650"/>
      <c r="D59" s="404">
        <v>3</v>
      </c>
      <c r="E59" s="404">
        <v>30</v>
      </c>
      <c r="F59" s="404">
        <v>3</v>
      </c>
      <c r="G59" s="404">
        <v>985</v>
      </c>
      <c r="H59" s="212">
        <v>105386030</v>
      </c>
      <c r="I59" s="212">
        <v>105386012</v>
      </c>
      <c r="J59" s="216" t="s">
        <v>2103</v>
      </c>
      <c r="K59" s="401" t="s">
        <v>533</v>
      </c>
      <c r="L59" s="404">
        <v>2</v>
      </c>
      <c r="M59" s="404">
        <v>2</v>
      </c>
    </row>
    <row r="60" spans="1:13" s="152" customFormat="1" ht="20.45" customHeight="1" thickTop="1" thickBot="1" x14ac:dyDescent="0.3">
      <c r="A60" s="161"/>
      <c r="B60" s="434"/>
      <c r="C60" s="158"/>
      <c r="D60" s="158"/>
      <c r="E60" s="158"/>
      <c r="F60" s="158"/>
      <c r="G60" s="158"/>
      <c r="H60" s="162"/>
      <c r="I60" s="163"/>
      <c r="J60" s="158"/>
      <c r="K60" s="165"/>
      <c r="L60" s="164"/>
      <c r="M60" s="166"/>
    </row>
    <row r="61" spans="1:13" s="63" customFormat="1" ht="30" customHeight="1" thickTop="1" thickBot="1" x14ac:dyDescent="0.3">
      <c r="A61" s="639" t="s">
        <v>0</v>
      </c>
      <c r="B61" s="639" t="s">
        <v>1</v>
      </c>
      <c r="C61" s="639" t="s">
        <v>2569</v>
      </c>
      <c r="D61" s="636" t="s">
        <v>1961</v>
      </c>
      <c r="E61" s="637"/>
      <c r="F61" s="637"/>
      <c r="G61" s="638"/>
      <c r="H61" s="636" t="s">
        <v>3</v>
      </c>
      <c r="I61" s="637"/>
      <c r="J61" s="636" t="s">
        <v>1962</v>
      </c>
      <c r="K61" s="637"/>
      <c r="L61" s="637"/>
      <c r="M61" s="638"/>
    </row>
    <row r="62" spans="1:13" s="63" customFormat="1" ht="34.5" customHeight="1" thickTop="1" thickBot="1" x14ac:dyDescent="0.3">
      <c r="A62" s="640"/>
      <c r="B62" s="640"/>
      <c r="C62" s="640"/>
      <c r="D62" s="209" t="s">
        <v>4</v>
      </c>
      <c r="E62" s="209" t="s">
        <v>5</v>
      </c>
      <c r="F62" s="209" t="s">
        <v>6</v>
      </c>
      <c r="G62" s="209" t="s">
        <v>7</v>
      </c>
      <c r="H62" s="209" t="s">
        <v>2</v>
      </c>
      <c r="I62" s="209" t="s">
        <v>3</v>
      </c>
      <c r="J62" s="209" t="s">
        <v>8</v>
      </c>
      <c r="K62" s="389" t="s">
        <v>9</v>
      </c>
      <c r="L62" s="389" t="s">
        <v>1963</v>
      </c>
      <c r="M62" s="389" t="s">
        <v>1964</v>
      </c>
    </row>
    <row r="63" spans="1:13" s="63" customFormat="1" ht="41.25" customHeight="1" thickTop="1" thickBot="1" x14ac:dyDescent="0.3">
      <c r="A63" s="420" t="s">
        <v>2472</v>
      </c>
      <c r="B63" s="627" t="s">
        <v>2541</v>
      </c>
      <c r="C63" s="420" t="s">
        <v>18</v>
      </c>
      <c r="D63" s="420">
        <v>2</v>
      </c>
      <c r="E63" s="420">
        <v>30</v>
      </c>
      <c r="F63" s="420">
        <v>3</v>
      </c>
      <c r="G63" s="420">
        <v>848</v>
      </c>
      <c r="H63" s="212">
        <v>334780675</v>
      </c>
      <c r="I63" s="212">
        <v>50386000</v>
      </c>
      <c r="J63" s="216" t="s">
        <v>2104</v>
      </c>
      <c r="K63" s="401" t="s">
        <v>20</v>
      </c>
      <c r="L63" s="404">
        <v>310</v>
      </c>
      <c r="M63" s="404">
        <v>61</v>
      </c>
    </row>
    <row r="64" spans="1:13" s="63" customFormat="1" ht="41.25" customHeight="1" thickTop="1" thickBot="1" x14ac:dyDescent="0.3">
      <c r="A64" s="623" t="s">
        <v>2472</v>
      </c>
      <c r="B64" s="627" t="s">
        <v>2541</v>
      </c>
      <c r="C64" s="649" t="s">
        <v>53</v>
      </c>
      <c r="D64" s="420">
        <v>3</v>
      </c>
      <c r="E64" s="420">
        <v>30</v>
      </c>
      <c r="F64" s="420">
        <v>3</v>
      </c>
      <c r="G64" s="420">
        <v>520</v>
      </c>
      <c r="H64" s="212">
        <v>8821667</v>
      </c>
      <c r="I64" s="212">
        <v>8821667</v>
      </c>
      <c r="J64" s="216" t="s">
        <v>860</v>
      </c>
      <c r="K64" s="401" t="s">
        <v>13</v>
      </c>
      <c r="L64" s="404">
        <v>1</v>
      </c>
      <c r="M64" s="404">
        <v>1</v>
      </c>
    </row>
    <row r="65" spans="1:13" s="63" customFormat="1" ht="41.25" customHeight="1" thickTop="1" thickBot="1" x14ac:dyDescent="0.3">
      <c r="A65" s="623" t="s">
        <v>2472</v>
      </c>
      <c r="B65" s="627" t="s">
        <v>2541</v>
      </c>
      <c r="C65" s="665"/>
      <c r="D65" s="420">
        <v>3</v>
      </c>
      <c r="E65" s="420">
        <v>30</v>
      </c>
      <c r="F65" s="420">
        <v>3</v>
      </c>
      <c r="G65" s="420">
        <v>520</v>
      </c>
      <c r="H65" s="212">
        <v>132357193</v>
      </c>
      <c r="I65" s="212">
        <v>132357193</v>
      </c>
      <c r="J65" s="216" t="s">
        <v>861</v>
      </c>
      <c r="K65" s="401" t="s">
        <v>55</v>
      </c>
      <c r="L65" s="404">
        <v>1</v>
      </c>
      <c r="M65" s="404">
        <v>1</v>
      </c>
    </row>
    <row r="66" spans="1:13" s="63" customFormat="1" ht="41.25" customHeight="1" thickTop="1" thickBot="1" x14ac:dyDescent="0.3">
      <c r="A66" s="623" t="s">
        <v>2472</v>
      </c>
      <c r="B66" s="627" t="s">
        <v>2541</v>
      </c>
      <c r="C66" s="665"/>
      <c r="D66" s="420">
        <v>3</v>
      </c>
      <c r="E66" s="420">
        <v>30</v>
      </c>
      <c r="F66" s="420">
        <v>3</v>
      </c>
      <c r="G66" s="420">
        <v>520</v>
      </c>
      <c r="H66" s="212">
        <v>33517400</v>
      </c>
      <c r="I66" s="212">
        <v>33517400</v>
      </c>
      <c r="J66" s="216" t="s">
        <v>862</v>
      </c>
      <c r="K66" s="401" t="s">
        <v>25</v>
      </c>
      <c r="L66" s="404">
        <v>1</v>
      </c>
      <c r="M66" s="404">
        <v>1</v>
      </c>
    </row>
    <row r="67" spans="1:13" s="63" customFormat="1" ht="41.25" customHeight="1" thickTop="1" thickBot="1" x14ac:dyDescent="0.3">
      <c r="A67" s="623" t="s">
        <v>2472</v>
      </c>
      <c r="B67" s="627" t="s">
        <v>2541</v>
      </c>
      <c r="C67" s="650"/>
      <c r="D67" s="420">
        <v>3</v>
      </c>
      <c r="E67" s="420">
        <v>30</v>
      </c>
      <c r="F67" s="420">
        <v>3</v>
      </c>
      <c r="G67" s="420">
        <v>520</v>
      </c>
      <c r="H67" s="212">
        <v>394287379</v>
      </c>
      <c r="I67" s="212">
        <v>0</v>
      </c>
      <c r="J67" s="216" t="s">
        <v>863</v>
      </c>
      <c r="K67" s="401" t="s">
        <v>55</v>
      </c>
      <c r="L67" s="404">
        <v>5</v>
      </c>
      <c r="M67" s="404">
        <v>0</v>
      </c>
    </row>
    <row r="68" spans="1:13" s="63" customFormat="1" ht="42" customHeight="1" thickTop="1" thickBot="1" x14ac:dyDescent="0.3">
      <c r="A68" s="623" t="s">
        <v>2472</v>
      </c>
      <c r="B68" s="627" t="s">
        <v>2541</v>
      </c>
      <c r="C68" s="420" t="s">
        <v>105</v>
      </c>
      <c r="D68" s="420">
        <v>3</v>
      </c>
      <c r="E68" s="420">
        <v>30</v>
      </c>
      <c r="F68" s="420">
        <v>3</v>
      </c>
      <c r="G68" s="420">
        <v>540</v>
      </c>
      <c r="H68" s="212">
        <v>212171268</v>
      </c>
      <c r="I68" s="212">
        <v>0</v>
      </c>
      <c r="J68" s="216" t="s">
        <v>864</v>
      </c>
      <c r="K68" s="401" t="s">
        <v>865</v>
      </c>
      <c r="L68" s="404">
        <v>200</v>
      </c>
      <c r="M68" s="404">
        <v>0</v>
      </c>
    </row>
    <row r="69" spans="1:13" s="152" customFormat="1" ht="18" customHeight="1" thickTop="1" thickBot="1" x14ac:dyDescent="0.3">
      <c r="A69" s="136"/>
      <c r="B69" s="432"/>
      <c r="C69" s="158"/>
      <c r="D69" s="159"/>
      <c r="E69" s="159"/>
      <c r="F69" s="167"/>
      <c r="G69" s="159"/>
      <c r="H69" s="24"/>
      <c r="I69" s="24"/>
      <c r="J69" s="159"/>
      <c r="K69" s="24"/>
      <c r="L69" s="24"/>
      <c r="M69" s="24"/>
    </row>
    <row r="70" spans="1:13" s="63" customFormat="1" ht="30" customHeight="1" thickTop="1" thickBot="1" x14ac:dyDescent="0.3">
      <c r="A70" s="639" t="s">
        <v>0</v>
      </c>
      <c r="B70" s="639" t="s">
        <v>1</v>
      </c>
      <c r="C70" s="639" t="s">
        <v>2569</v>
      </c>
      <c r="D70" s="636" t="s">
        <v>1961</v>
      </c>
      <c r="E70" s="637"/>
      <c r="F70" s="637"/>
      <c r="G70" s="638"/>
      <c r="H70" s="636" t="s">
        <v>3</v>
      </c>
      <c r="I70" s="637"/>
      <c r="J70" s="636" t="s">
        <v>1962</v>
      </c>
      <c r="K70" s="637"/>
      <c r="L70" s="637"/>
      <c r="M70" s="638"/>
    </row>
    <row r="71" spans="1:13" s="63" customFormat="1" ht="34.5" customHeight="1" thickTop="1" thickBot="1" x14ac:dyDescent="0.3">
      <c r="A71" s="640"/>
      <c r="B71" s="640"/>
      <c r="C71" s="640"/>
      <c r="D71" s="209" t="s">
        <v>4</v>
      </c>
      <c r="E71" s="209" t="s">
        <v>5</v>
      </c>
      <c r="F71" s="209" t="s">
        <v>6</v>
      </c>
      <c r="G71" s="209" t="s">
        <v>7</v>
      </c>
      <c r="H71" s="209" t="s">
        <v>2</v>
      </c>
      <c r="I71" s="209" t="s">
        <v>3</v>
      </c>
      <c r="J71" s="209" t="s">
        <v>8</v>
      </c>
      <c r="K71" s="389" t="s">
        <v>9</v>
      </c>
      <c r="L71" s="389" t="s">
        <v>1963</v>
      </c>
      <c r="M71" s="389" t="s">
        <v>1964</v>
      </c>
    </row>
    <row r="72" spans="1:13" s="63" customFormat="1" ht="48" customHeight="1" thickTop="1" thickBot="1" x14ac:dyDescent="0.3">
      <c r="A72" s="404" t="s">
        <v>927</v>
      </c>
      <c r="B72" s="627" t="s">
        <v>2541</v>
      </c>
      <c r="C72" s="404" t="s">
        <v>18</v>
      </c>
      <c r="D72" s="404">
        <v>3</v>
      </c>
      <c r="E72" s="404">
        <v>30</v>
      </c>
      <c r="F72" s="404">
        <v>3</v>
      </c>
      <c r="G72" s="404">
        <v>848</v>
      </c>
      <c r="H72" s="212">
        <v>442629894</v>
      </c>
      <c r="I72" s="212">
        <v>418707900</v>
      </c>
      <c r="J72" s="216" t="s">
        <v>866</v>
      </c>
      <c r="K72" s="401" t="s">
        <v>20</v>
      </c>
      <c r="L72" s="404">
        <v>255</v>
      </c>
      <c r="M72" s="404">
        <v>255</v>
      </c>
    </row>
    <row r="73" spans="1:13" s="63" customFormat="1" ht="30.75" customHeight="1" thickTop="1" thickBot="1" x14ac:dyDescent="0.3">
      <c r="A73" s="404" t="s">
        <v>927</v>
      </c>
      <c r="B73" s="627" t="s">
        <v>2541</v>
      </c>
      <c r="C73" s="705" t="s">
        <v>53</v>
      </c>
      <c r="D73" s="404">
        <v>3</v>
      </c>
      <c r="E73" s="404">
        <v>30</v>
      </c>
      <c r="F73" s="404">
        <v>3</v>
      </c>
      <c r="G73" s="404">
        <v>520</v>
      </c>
      <c r="H73" s="212">
        <v>140000000</v>
      </c>
      <c r="I73" s="212">
        <v>140000000</v>
      </c>
      <c r="J73" s="216" t="s">
        <v>867</v>
      </c>
      <c r="K73" s="401" t="s">
        <v>13</v>
      </c>
      <c r="L73" s="404">
        <v>3</v>
      </c>
      <c r="M73" s="404">
        <v>3</v>
      </c>
    </row>
    <row r="74" spans="1:13" s="63" customFormat="1" ht="30.75" customHeight="1" thickTop="1" thickBot="1" x14ac:dyDescent="0.3">
      <c r="A74" s="404" t="s">
        <v>927</v>
      </c>
      <c r="B74" s="627" t="s">
        <v>2541</v>
      </c>
      <c r="C74" s="706"/>
      <c r="D74" s="404">
        <v>3</v>
      </c>
      <c r="E74" s="404">
        <v>30</v>
      </c>
      <c r="F74" s="404">
        <v>3</v>
      </c>
      <c r="G74" s="404">
        <v>520</v>
      </c>
      <c r="H74" s="212">
        <f>335110057-3000000</f>
        <v>332110057</v>
      </c>
      <c r="I74" s="212">
        <v>94991545</v>
      </c>
      <c r="J74" s="216" t="s">
        <v>868</v>
      </c>
      <c r="K74" s="401" t="s">
        <v>55</v>
      </c>
      <c r="L74" s="404">
        <v>4</v>
      </c>
      <c r="M74" s="404">
        <v>1</v>
      </c>
    </row>
    <row r="75" spans="1:13" s="63" customFormat="1" ht="30.75" customHeight="1" thickTop="1" thickBot="1" x14ac:dyDescent="0.3">
      <c r="A75" s="404" t="s">
        <v>927</v>
      </c>
      <c r="B75" s="627" t="s">
        <v>2541</v>
      </c>
      <c r="C75" s="707"/>
      <c r="D75" s="404">
        <v>3</v>
      </c>
      <c r="E75" s="404">
        <v>30</v>
      </c>
      <c r="F75" s="404">
        <v>3</v>
      </c>
      <c r="G75" s="404">
        <v>520</v>
      </c>
      <c r="H75" s="212">
        <v>133740515</v>
      </c>
      <c r="I75" s="212">
        <v>36530323</v>
      </c>
      <c r="J75" s="216" t="s">
        <v>869</v>
      </c>
      <c r="K75" s="401" t="s">
        <v>28</v>
      </c>
      <c r="L75" s="404">
        <v>1</v>
      </c>
      <c r="M75" s="404">
        <v>0</v>
      </c>
    </row>
    <row r="76" spans="1:13" s="63" customFormat="1" ht="48" customHeight="1" thickTop="1" thickBot="1" x14ac:dyDescent="0.3">
      <c r="A76" s="404" t="s">
        <v>927</v>
      </c>
      <c r="B76" s="627" t="s">
        <v>2541</v>
      </c>
      <c r="C76" s="649" t="s">
        <v>440</v>
      </c>
      <c r="D76" s="404">
        <v>3</v>
      </c>
      <c r="E76" s="404">
        <v>30</v>
      </c>
      <c r="F76" s="404">
        <v>3</v>
      </c>
      <c r="G76" s="404">
        <v>520</v>
      </c>
      <c r="H76" s="212">
        <v>140000000</v>
      </c>
      <c r="I76" s="212">
        <v>140000000</v>
      </c>
      <c r="J76" s="216" t="s">
        <v>870</v>
      </c>
      <c r="K76" s="401" t="s">
        <v>11</v>
      </c>
      <c r="L76" s="405">
        <v>2400</v>
      </c>
      <c r="M76" s="405">
        <v>2400</v>
      </c>
    </row>
    <row r="77" spans="1:13" s="63" customFormat="1" ht="39" customHeight="1" thickTop="1" thickBot="1" x14ac:dyDescent="0.3">
      <c r="A77" s="404" t="s">
        <v>927</v>
      </c>
      <c r="B77" s="627" t="s">
        <v>2541</v>
      </c>
      <c r="C77" s="665"/>
      <c r="D77" s="404">
        <v>3</v>
      </c>
      <c r="E77" s="404">
        <v>30</v>
      </c>
      <c r="F77" s="404">
        <v>3</v>
      </c>
      <c r="G77" s="404">
        <v>520</v>
      </c>
      <c r="H77" s="212">
        <v>73250000</v>
      </c>
      <c r="I77" s="212">
        <v>73250000</v>
      </c>
      <c r="J77" s="216" t="s">
        <v>871</v>
      </c>
      <c r="K77" s="401" t="s">
        <v>11</v>
      </c>
      <c r="L77" s="405">
        <v>1250</v>
      </c>
      <c r="M77" s="405">
        <v>1250</v>
      </c>
    </row>
    <row r="78" spans="1:13" s="63" customFormat="1" ht="43.5" customHeight="1" thickTop="1" thickBot="1" x14ac:dyDescent="0.3">
      <c r="A78" s="404" t="s">
        <v>927</v>
      </c>
      <c r="B78" s="627" t="s">
        <v>2541</v>
      </c>
      <c r="C78" s="665"/>
      <c r="D78" s="404">
        <v>3</v>
      </c>
      <c r="E78" s="404">
        <v>30</v>
      </c>
      <c r="F78" s="404">
        <v>3</v>
      </c>
      <c r="G78" s="404">
        <v>520</v>
      </c>
      <c r="H78" s="212">
        <f>59550000+22286594</f>
        <v>81836594</v>
      </c>
      <c r="I78" s="212">
        <v>69844360</v>
      </c>
      <c r="J78" s="216" t="s">
        <v>872</v>
      </c>
      <c r="K78" s="401" t="s">
        <v>11</v>
      </c>
      <c r="L78" s="405">
        <v>1360</v>
      </c>
      <c r="M78" s="405">
        <v>1159</v>
      </c>
    </row>
    <row r="79" spans="1:13" s="63" customFormat="1" ht="33.75" customHeight="1" thickTop="1" thickBot="1" x14ac:dyDescent="0.3">
      <c r="A79" s="404" t="s">
        <v>927</v>
      </c>
      <c r="B79" s="627" t="s">
        <v>2541</v>
      </c>
      <c r="C79" s="650"/>
      <c r="D79" s="404">
        <v>3</v>
      </c>
      <c r="E79" s="404">
        <v>30</v>
      </c>
      <c r="F79" s="404">
        <v>3</v>
      </c>
      <c r="G79" s="404">
        <v>530</v>
      </c>
      <c r="H79" s="212">
        <v>1000000</v>
      </c>
      <c r="I79" s="212">
        <v>0</v>
      </c>
      <c r="J79" s="216" t="s">
        <v>873</v>
      </c>
      <c r="K79" s="401" t="s">
        <v>17</v>
      </c>
      <c r="L79" s="404">
        <v>1</v>
      </c>
      <c r="M79" s="404">
        <v>0</v>
      </c>
    </row>
    <row r="80" spans="1:13" s="63" customFormat="1" ht="34.5" customHeight="1" thickTop="1" thickBot="1" x14ac:dyDescent="0.3">
      <c r="A80" s="404" t="s">
        <v>927</v>
      </c>
      <c r="B80" s="627" t="s">
        <v>2541</v>
      </c>
      <c r="C80" s="404" t="s">
        <v>105</v>
      </c>
      <c r="D80" s="404">
        <v>3</v>
      </c>
      <c r="E80" s="404">
        <v>30</v>
      </c>
      <c r="F80" s="404">
        <v>3</v>
      </c>
      <c r="G80" s="404">
        <v>540</v>
      </c>
      <c r="H80" s="212">
        <v>1000000</v>
      </c>
      <c r="I80" s="212">
        <v>0</v>
      </c>
      <c r="J80" s="216" t="s">
        <v>874</v>
      </c>
      <c r="K80" s="401" t="s">
        <v>816</v>
      </c>
      <c r="L80" s="404">
        <v>1</v>
      </c>
      <c r="M80" s="404">
        <v>0</v>
      </c>
    </row>
    <row r="81" spans="1:108" s="63" customFormat="1" ht="33.75" customHeight="1" thickTop="1" thickBot="1" x14ac:dyDescent="0.3">
      <c r="A81" s="404" t="s">
        <v>927</v>
      </c>
      <c r="B81" s="627" t="s">
        <v>2541</v>
      </c>
      <c r="C81" s="649" t="s">
        <v>53</v>
      </c>
      <c r="D81" s="404">
        <v>3</v>
      </c>
      <c r="E81" s="404">
        <v>30</v>
      </c>
      <c r="F81" s="404">
        <v>3</v>
      </c>
      <c r="G81" s="404">
        <v>590</v>
      </c>
      <c r="H81" s="212">
        <v>1000000</v>
      </c>
      <c r="I81" s="212">
        <v>0</v>
      </c>
      <c r="J81" s="216" t="s">
        <v>875</v>
      </c>
      <c r="K81" s="401" t="s">
        <v>55</v>
      </c>
      <c r="L81" s="404">
        <v>1</v>
      </c>
      <c r="M81" s="404">
        <v>0</v>
      </c>
    </row>
    <row r="82" spans="1:108" s="63" customFormat="1" ht="42" customHeight="1" thickTop="1" thickBot="1" x14ac:dyDescent="0.3">
      <c r="A82" s="404" t="s">
        <v>927</v>
      </c>
      <c r="B82" s="627" t="s">
        <v>2541</v>
      </c>
      <c r="C82" s="650"/>
      <c r="D82" s="404">
        <v>3</v>
      </c>
      <c r="E82" s="404">
        <v>30</v>
      </c>
      <c r="F82" s="404">
        <v>3</v>
      </c>
      <c r="G82" s="404">
        <v>980</v>
      </c>
      <c r="H82" s="212">
        <v>128865917</v>
      </c>
      <c r="I82" s="212">
        <v>127865917</v>
      </c>
      <c r="J82" s="216" t="s">
        <v>876</v>
      </c>
      <c r="K82" s="401" t="s">
        <v>16</v>
      </c>
      <c r="L82" s="404">
        <v>4</v>
      </c>
      <c r="M82" s="404">
        <v>4</v>
      </c>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c r="CJ82" s="152"/>
      <c r="CK82" s="152"/>
      <c r="CL82" s="152"/>
      <c r="CM82" s="152"/>
      <c r="CN82" s="152"/>
      <c r="CO82" s="152"/>
      <c r="CP82" s="152"/>
      <c r="CQ82" s="152"/>
      <c r="CR82" s="152"/>
      <c r="CS82" s="152"/>
      <c r="CT82" s="152"/>
      <c r="CU82" s="152"/>
      <c r="CV82" s="152"/>
      <c r="CW82" s="152"/>
      <c r="CX82" s="152"/>
      <c r="CY82" s="152"/>
      <c r="CZ82" s="152"/>
      <c r="DA82" s="152"/>
      <c r="DB82" s="152"/>
      <c r="DC82" s="152"/>
      <c r="DD82" s="152"/>
    </row>
    <row r="83" spans="1:108" s="168" customFormat="1" ht="18" customHeight="1" thickTop="1" thickBot="1" x14ac:dyDescent="0.3">
      <c r="A83" s="136"/>
      <c r="B83" s="431"/>
      <c r="C83" s="138"/>
      <c r="D83" s="139"/>
      <c r="E83" s="139"/>
      <c r="F83" s="139"/>
      <c r="G83" s="139"/>
      <c r="H83" s="140"/>
      <c r="I83" s="140"/>
      <c r="J83" s="139"/>
      <c r="K83" s="139"/>
      <c r="L83" s="140"/>
      <c r="M83" s="140"/>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2"/>
      <c r="CM83" s="152"/>
      <c r="CN83" s="152"/>
      <c r="CO83" s="152"/>
      <c r="CP83" s="152"/>
      <c r="CQ83" s="152"/>
      <c r="CR83" s="152"/>
      <c r="CS83" s="152"/>
      <c r="CT83" s="152"/>
      <c r="CU83" s="152"/>
      <c r="CV83" s="152"/>
      <c r="CW83" s="152"/>
      <c r="CX83" s="152"/>
      <c r="CY83" s="152"/>
      <c r="CZ83" s="152"/>
      <c r="DA83" s="152"/>
      <c r="DB83" s="152"/>
      <c r="DC83" s="152"/>
      <c r="DD83" s="152"/>
    </row>
    <row r="84" spans="1:108" s="63" customFormat="1" ht="30" customHeight="1" thickTop="1" thickBot="1" x14ac:dyDescent="0.3">
      <c r="A84" s="639" t="s">
        <v>0</v>
      </c>
      <c r="B84" s="639" t="s">
        <v>1</v>
      </c>
      <c r="C84" s="639" t="s">
        <v>2569</v>
      </c>
      <c r="D84" s="636" t="s">
        <v>1961</v>
      </c>
      <c r="E84" s="637"/>
      <c r="F84" s="637"/>
      <c r="G84" s="638"/>
      <c r="H84" s="636" t="s">
        <v>3</v>
      </c>
      <c r="I84" s="637"/>
      <c r="J84" s="636" t="s">
        <v>1962</v>
      </c>
      <c r="K84" s="637"/>
      <c r="L84" s="637"/>
      <c r="M84" s="638"/>
    </row>
    <row r="85" spans="1:108" s="63" customFormat="1" ht="34.5" customHeight="1" thickTop="1" thickBot="1" x14ac:dyDescent="0.3">
      <c r="A85" s="640"/>
      <c r="B85" s="640"/>
      <c r="C85" s="640"/>
      <c r="D85" s="209" t="s">
        <v>4</v>
      </c>
      <c r="E85" s="209" t="s">
        <v>5</v>
      </c>
      <c r="F85" s="209" t="s">
        <v>6</v>
      </c>
      <c r="G85" s="209" t="s">
        <v>7</v>
      </c>
      <c r="H85" s="209" t="s">
        <v>2</v>
      </c>
      <c r="I85" s="209" t="s">
        <v>3</v>
      </c>
      <c r="J85" s="209" t="s">
        <v>8</v>
      </c>
      <c r="K85" s="389" t="s">
        <v>9</v>
      </c>
      <c r="L85" s="389" t="s">
        <v>1963</v>
      </c>
      <c r="M85" s="389" t="s">
        <v>1964</v>
      </c>
    </row>
    <row r="86" spans="1:108" s="63" customFormat="1" ht="50.25" customHeight="1" thickTop="1" thickBot="1" x14ac:dyDescent="0.3">
      <c r="A86" s="420" t="s">
        <v>2473</v>
      </c>
      <c r="B86" s="627" t="s">
        <v>2541</v>
      </c>
      <c r="C86" s="420" t="s">
        <v>18</v>
      </c>
      <c r="D86" s="420">
        <v>3</v>
      </c>
      <c r="E86" s="420">
        <v>30</v>
      </c>
      <c r="F86" s="420">
        <v>3</v>
      </c>
      <c r="G86" s="420">
        <v>848</v>
      </c>
      <c r="H86" s="212">
        <v>481598856</v>
      </c>
      <c r="I86" s="212">
        <v>237005360</v>
      </c>
      <c r="J86" s="216" t="s">
        <v>877</v>
      </c>
      <c r="K86" s="401" t="s">
        <v>20</v>
      </c>
      <c r="L86" s="404">
        <v>337</v>
      </c>
      <c r="M86" s="404">
        <v>337</v>
      </c>
    </row>
    <row r="87" spans="1:108" s="63" customFormat="1" ht="32.25" customHeight="1" thickTop="1" thickBot="1" x14ac:dyDescent="0.3">
      <c r="A87" s="623" t="s">
        <v>2473</v>
      </c>
      <c r="B87" s="627" t="s">
        <v>2541</v>
      </c>
      <c r="C87" s="703" t="s">
        <v>53</v>
      </c>
      <c r="D87" s="420">
        <v>3</v>
      </c>
      <c r="E87" s="420">
        <v>30</v>
      </c>
      <c r="F87" s="420">
        <v>3</v>
      </c>
      <c r="G87" s="420">
        <v>520</v>
      </c>
      <c r="H87" s="212">
        <v>536586210</v>
      </c>
      <c r="I87" s="212">
        <v>385929200</v>
      </c>
      <c r="J87" s="216" t="s">
        <v>878</v>
      </c>
      <c r="K87" s="401" t="s">
        <v>55</v>
      </c>
      <c r="L87" s="404">
        <v>4</v>
      </c>
      <c r="M87" s="404">
        <v>4</v>
      </c>
    </row>
    <row r="88" spans="1:108" s="63" customFormat="1" ht="32.25" customHeight="1" thickTop="1" thickBot="1" x14ac:dyDescent="0.3">
      <c r="A88" s="623" t="s">
        <v>2473</v>
      </c>
      <c r="B88" s="627" t="s">
        <v>2541</v>
      </c>
      <c r="C88" s="702"/>
      <c r="D88" s="420">
        <v>3</v>
      </c>
      <c r="E88" s="420">
        <v>30</v>
      </c>
      <c r="F88" s="420">
        <v>3</v>
      </c>
      <c r="G88" s="420">
        <v>520</v>
      </c>
      <c r="H88" s="212">
        <v>284310453</v>
      </c>
      <c r="I88" s="212">
        <v>180474300</v>
      </c>
      <c r="J88" s="216" t="s">
        <v>879</v>
      </c>
      <c r="K88" s="401" t="s">
        <v>55</v>
      </c>
      <c r="L88" s="404">
        <v>9</v>
      </c>
      <c r="M88" s="404">
        <v>5</v>
      </c>
    </row>
    <row r="89" spans="1:108" s="63" customFormat="1" ht="41.25" customHeight="1" thickTop="1" thickBot="1" x14ac:dyDescent="0.3">
      <c r="A89" s="623" t="s">
        <v>2473</v>
      </c>
      <c r="B89" s="627" t="s">
        <v>2541</v>
      </c>
      <c r="C89" s="420" t="s">
        <v>440</v>
      </c>
      <c r="D89" s="420">
        <v>3</v>
      </c>
      <c r="E89" s="420">
        <v>30</v>
      </c>
      <c r="F89" s="420">
        <v>3</v>
      </c>
      <c r="G89" s="420">
        <v>520</v>
      </c>
      <c r="H89" s="212">
        <v>82834000</v>
      </c>
      <c r="I89" s="212">
        <v>33133600</v>
      </c>
      <c r="J89" s="216" t="s">
        <v>880</v>
      </c>
      <c r="K89" s="401" t="s">
        <v>449</v>
      </c>
      <c r="L89" s="404">
        <v>280</v>
      </c>
      <c r="M89" s="404">
        <v>140</v>
      </c>
    </row>
    <row r="90" spans="1:108" s="63" customFormat="1" ht="49.5" customHeight="1" thickTop="1" thickBot="1" x14ac:dyDescent="0.3">
      <c r="A90" s="623" t="s">
        <v>2473</v>
      </c>
      <c r="B90" s="627" t="s">
        <v>2541</v>
      </c>
      <c r="C90" s="420" t="s">
        <v>53</v>
      </c>
      <c r="D90" s="420">
        <v>3</v>
      </c>
      <c r="E90" s="420">
        <v>30</v>
      </c>
      <c r="F90" s="420">
        <v>3</v>
      </c>
      <c r="G90" s="420">
        <v>540</v>
      </c>
      <c r="H90" s="212">
        <v>130000000</v>
      </c>
      <c r="I90" s="212">
        <v>0</v>
      </c>
      <c r="J90" s="216" t="s">
        <v>881</v>
      </c>
      <c r="K90" s="401" t="s">
        <v>17</v>
      </c>
      <c r="L90" s="404">
        <v>130</v>
      </c>
      <c r="M90" s="404">
        <v>0</v>
      </c>
    </row>
    <row r="91" spans="1:108" s="63" customFormat="1" ht="44.25" customHeight="1" thickTop="1" thickBot="1" x14ac:dyDescent="0.3">
      <c r="A91" s="623" t="s">
        <v>2473</v>
      </c>
      <c r="B91" s="627" t="s">
        <v>2541</v>
      </c>
      <c r="C91" s="420" t="s">
        <v>440</v>
      </c>
      <c r="D91" s="420">
        <v>3</v>
      </c>
      <c r="E91" s="420">
        <v>30</v>
      </c>
      <c r="F91" s="420">
        <v>3</v>
      </c>
      <c r="G91" s="420">
        <v>530</v>
      </c>
      <c r="H91" s="212">
        <v>90000000</v>
      </c>
      <c r="I91" s="212">
        <v>43379500</v>
      </c>
      <c r="J91" s="216" t="s">
        <v>882</v>
      </c>
      <c r="K91" s="401" t="s">
        <v>17</v>
      </c>
      <c r="L91" s="404">
        <v>13</v>
      </c>
      <c r="M91" s="404">
        <v>6</v>
      </c>
    </row>
    <row r="92" spans="1:108" s="152" customFormat="1" ht="19.149999999999999" customHeight="1" thickTop="1" thickBot="1" x14ac:dyDescent="0.3">
      <c r="A92" s="136"/>
      <c r="B92" s="431"/>
      <c r="C92" s="160"/>
      <c r="D92" s="24"/>
      <c r="E92" s="24"/>
      <c r="F92" s="24"/>
      <c r="G92" s="24"/>
      <c r="H92" s="24"/>
      <c r="I92" s="24"/>
      <c r="J92" s="24"/>
      <c r="K92" s="24"/>
      <c r="L92" s="24"/>
      <c r="M92" s="24"/>
    </row>
    <row r="93" spans="1:108" s="63" customFormat="1" ht="30" customHeight="1" thickTop="1" thickBot="1" x14ac:dyDescent="0.3">
      <c r="A93" s="639" t="s">
        <v>0</v>
      </c>
      <c r="B93" s="639" t="s">
        <v>1</v>
      </c>
      <c r="C93" s="639" t="s">
        <v>2569</v>
      </c>
      <c r="D93" s="636" t="s">
        <v>1961</v>
      </c>
      <c r="E93" s="637"/>
      <c r="F93" s="637"/>
      <c r="G93" s="638"/>
      <c r="H93" s="636" t="s">
        <v>3</v>
      </c>
      <c r="I93" s="637"/>
      <c r="J93" s="636" t="s">
        <v>1962</v>
      </c>
      <c r="K93" s="637"/>
      <c r="L93" s="637"/>
      <c r="M93" s="638"/>
    </row>
    <row r="94" spans="1:108" s="63" customFormat="1" ht="34.5" customHeight="1" thickTop="1" thickBot="1" x14ac:dyDescent="0.3">
      <c r="A94" s="640"/>
      <c r="B94" s="640"/>
      <c r="C94" s="640"/>
      <c r="D94" s="209" t="s">
        <v>4</v>
      </c>
      <c r="E94" s="209" t="s">
        <v>5</v>
      </c>
      <c r="F94" s="209" t="s">
        <v>6</v>
      </c>
      <c r="G94" s="209" t="s">
        <v>7</v>
      </c>
      <c r="H94" s="209" t="s">
        <v>2</v>
      </c>
      <c r="I94" s="209" t="s">
        <v>3</v>
      </c>
      <c r="J94" s="209" t="s">
        <v>8</v>
      </c>
      <c r="K94" s="389" t="s">
        <v>9</v>
      </c>
      <c r="L94" s="389" t="s">
        <v>1963</v>
      </c>
      <c r="M94" s="389" t="s">
        <v>1964</v>
      </c>
    </row>
    <row r="95" spans="1:108" s="63" customFormat="1" ht="49.5" customHeight="1" thickTop="1" thickBot="1" x14ac:dyDescent="0.3">
      <c r="A95" s="407" t="s">
        <v>928</v>
      </c>
      <c r="B95" s="627" t="s">
        <v>2541</v>
      </c>
      <c r="C95" s="407" t="s">
        <v>18</v>
      </c>
      <c r="D95" s="407">
        <v>3</v>
      </c>
      <c r="E95" s="407">
        <v>30</v>
      </c>
      <c r="F95" s="407">
        <v>3</v>
      </c>
      <c r="G95" s="407">
        <v>848</v>
      </c>
      <c r="H95" s="409">
        <v>350640826</v>
      </c>
      <c r="I95" s="409">
        <v>0</v>
      </c>
      <c r="J95" s="427" t="s">
        <v>883</v>
      </c>
      <c r="K95" s="422" t="s">
        <v>20</v>
      </c>
      <c r="L95" s="407">
        <v>856</v>
      </c>
      <c r="M95" s="407">
        <v>0</v>
      </c>
    </row>
    <row r="96" spans="1:108" s="63" customFormat="1" ht="39.75" customHeight="1" thickTop="1" thickBot="1" x14ac:dyDescent="0.3">
      <c r="A96" s="307" t="s">
        <v>928</v>
      </c>
      <c r="B96" s="627" t="s">
        <v>2541</v>
      </c>
      <c r="C96" s="654" t="s">
        <v>53</v>
      </c>
      <c r="D96" s="418">
        <v>3</v>
      </c>
      <c r="E96" s="418">
        <v>30</v>
      </c>
      <c r="F96" s="418">
        <v>3</v>
      </c>
      <c r="G96" s="418">
        <v>520</v>
      </c>
      <c r="H96" s="415">
        <v>122602533</v>
      </c>
      <c r="I96" s="415">
        <v>122602533</v>
      </c>
      <c r="J96" s="416" t="s">
        <v>884</v>
      </c>
      <c r="K96" s="418" t="s">
        <v>55</v>
      </c>
      <c r="L96" s="417">
        <v>1</v>
      </c>
      <c r="M96" s="417">
        <v>1</v>
      </c>
    </row>
    <row r="97" spans="1:97" s="63" customFormat="1" ht="39.75" customHeight="1" thickTop="1" thickBot="1" x14ac:dyDescent="0.3">
      <c r="A97" s="307" t="s">
        <v>928</v>
      </c>
      <c r="B97" s="627" t="s">
        <v>2541</v>
      </c>
      <c r="C97" s="654"/>
      <c r="D97" s="418">
        <v>3</v>
      </c>
      <c r="E97" s="418">
        <v>30</v>
      </c>
      <c r="F97" s="418">
        <v>3</v>
      </c>
      <c r="G97" s="418">
        <v>520</v>
      </c>
      <c r="H97" s="415">
        <v>122010410</v>
      </c>
      <c r="I97" s="415">
        <v>122010410</v>
      </c>
      <c r="J97" s="416" t="s">
        <v>885</v>
      </c>
      <c r="K97" s="418" t="s">
        <v>55</v>
      </c>
      <c r="L97" s="417">
        <v>1</v>
      </c>
      <c r="M97" s="417">
        <v>1</v>
      </c>
    </row>
    <row r="98" spans="1:97" s="63" customFormat="1" ht="45" customHeight="1" thickTop="1" thickBot="1" x14ac:dyDescent="0.3">
      <c r="A98" s="307" t="s">
        <v>928</v>
      </c>
      <c r="B98" s="627" t="s">
        <v>2541</v>
      </c>
      <c r="C98" s="654"/>
      <c r="D98" s="418">
        <v>3</v>
      </c>
      <c r="E98" s="418">
        <v>30</v>
      </c>
      <c r="F98" s="418">
        <v>3</v>
      </c>
      <c r="G98" s="418">
        <v>520</v>
      </c>
      <c r="H98" s="415">
        <v>73568323</v>
      </c>
      <c r="I98" s="415">
        <v>73566323</v>
      </c>
      <c r="J98" s="416" t="s">
        <v>886</v>
      </c>
      <c r="K98" s="418" t="s">
        <v>55</v>
      </c>
      <c r="L98" s="417">
        <v>3</v>
      </c>
      <c r="M98" s="417">
        <v>3</v>
      </c>
    </row>
    <row r="99" spans="1:97" s="63" customFormat="1" ht="45" customHeight="1" thickTop="1" thickBot="1" x14ac:dyDescent="0.3">
      <c r="A99" s="307" t="s">
        <v>928</v>
      </c>
      <c r="B99" s="627" t="s">
        <v>2541</v>
      </c>
      <c r="C99" s="654"/>
      <c r="D99" s="418">
        <v>3</v>
      </c>
      <c r="E99" s="418">
        <v>30</v>
      </c>
      <c r="F99" s="418">
        <v>3</v>
      </c>
      <c r="G99" s="418">
        <v>520</v>
      </c>
      <c r="H99" s="415">
        <v>60772409</v>
      </c>
      <c r="I99" s="415">
        <v>60772409</v>
      </c>
      <c r="J99" s="416" t="s">
        <v>887</v>
      </c>
      <c r="K99" s="418" t="s">
        <v>55</v>
      </c>
      <c r="L99" s="417">
        <v>2</v>
      </c>
      <c r="M99" s="417">
        <v>2</v>
      </c>
    </row>
    <row r="100" spans="1:97" s="63" customFormat="1" ht="41.25" customHeight="1" thickTop="1" thickBot="1" x14ac:dyDescent="0.3">
      <c r="A100" s="307" t="s">
        <v>928</v>
      </c>
      <c r="B100" s="627" t="s">
        <v>2541</v>
      </c>
      <c r="C100" s="654"/>
      <c r="D100" s="418">
        <v>3</v>
      </c>
      <c r="E100" s="418">
        <v>30</v>
      </c>
      <c r="F100" s="418">
        <v>3</v>
      </c>
      <c r="G100" s="418">
        <v>520</v>
      </c>
      <c r="H100" s="415">
        <v>434208255</v>
      </c>
      <c r="I100" s="415">
        <v>0</v>
      </c>
      <c r="J100" s="416" t="s">
        <v>888</v>
      </c>
      <c r="K100" s="418" t="s">
        <v>55</v>
      </c>
      <c r="L100" s="417">
        <v>5</v>
      </c>
      <c r="M100" s="417">
        <v>0</v>
      </c>
    </row>
    <row r="101" spans="1:97" s="63" customFormat="1" ht="41.25" customHeight="1" thickTop="1" thickBot="1" x14ac:dyDescent="0.3">
      <c r="A101" s="307" t="s">
        <v>928</v>
      </c>
      <c r="B101" s="627" t="s">
        <v>2541</v>
      </c>
      <c r="C101" s="654"/>
      <c r="D101" s="418">
        <v>3</v>
      </c>
      <c r="E101" s="418">
        <v>30</v>
      </c>
      <c r="F101" s="418">
        <v>3</v>
      </c>
      <c r="G101" s="418">
        <v>530</v>
      </c>
      <c r="H101" s="415">
        <v>1000000</v>
      </c>
      <c r="I101" s="415">
        <v>0</v>
      </c>
      <c r="J101" s="416" t="s">
        <v>889</v>
      </c>
      <c r="K101" s="418" t="s">
        <v>17</v>
      </c>
      <c r="L101" s="417">
        <v>3</v>
      </c>
      <c r="M101" s="417">
        <v>0</v>
      </c>
    </row>
    <row r="102" spans="1:97" s="63" customFormat="1" ht="38.25" customHeight="1" thickTop="1" thickBot="1" x14ac:dyDescent="0.3">
      <c r="A102" s="307" t="s">
        <v>928</v>
      </c>
      <c r="B102" s="627" t="s">
        <v>2541</v>
      </c>
      <c r="C102" s="654"/>
      <c r="D102" s="418">
        <v>3</v>
      </c>
      <c r="E102" s="418">
        <v>30</v>
      </c>
      <c r="F102" s="418">
        <v>3</v>
      </c>
      <c r="G102" s="418">
        <v>540</v>
      </c>
      <c r="H102" s="415">
        <v>1000000</v>
      </c>
      <c r="I102" s="415">
        <v>0</v>
      </c>
      <c r="J102" s="416" t="s">
        <v>890</v>
      </c>
      <c r="K102" s="418" t="s">
        <v>17</v>
      </c>
      <c r="L102" s="417">
        <v>3</v>
      </c>
      <c r="M102" s="417">
        <v>0</v>
      </c>
    </row>
    <row r="103" spans="1:97" s="63" customFormat="1" ht="38.25" customHeight="1" thickTop="1" thickBot="1" x14ac:dyDescent="0.3">
      <c r="A103" s="307" t="s">
        <v>928</v>
      </c>
      <c r="B103" s="627" t="s">
        <v>2541</v>
      </c>
      <c r="C103" s="654"/>
      <c r="D103" s="418">
        <v>3</v>
      </c>
      <c r="E103" s="418">
        <v>30</v>
      </c>
      <c r="F103" s="418">
        <v>3</v>
      </c>
      <c r="G103" s="418">
        <v>590</v>
      </c>
      <c r="H103" s="415">
        <v>1000000</v>
      </c>
      <c r="I103" s="415">
        <v>0</v>
      </c>
      <c r="J103" s="416" t="s">
        <v>891</v>
      </c>
      <c r="K103" s="262" t="s">
        <v>52</v>
      </c>
      <c r="L103" s="417">
        <v>3</v>
      </c>
      <c r="M103" s="417">
        <v>0</v>
      </c>
    </row>
    <row r="104" spans="1:97" s="63" customFormat="1" ht="48" customHeight="1" thickTop="1" thickBot="1" x14ac:dyDescent="0.3">
      <c r="A104" s="408" t="s">
        <v>928</v>
      </c>
      <c r="B104" s="627" t="s">
        <v>2541</v>
      </c>
      <c r="C104" s="408" t="s">
        <v>53</v>
      </c>
      <c r="D104" s="408">
        <v>3</v>
      </c>
      <c r="E104" s="408">
        <v>30</v>
      </c>
      <c r="F104" s="408">
        <v>3</v>
      </c>
      <c r="G104" s="408">
        <v>980</v>
      </c>
      <c r="H104" s="410">
        <v>2000000</v>
      </c>
      <c r="I104" s="410">
        <v>0</v>
      </c>
      <c r="J104" s="280" t="s">
        <v>892</v>
      </c>
      <c r="K104" s="403" t="s">
        <v>16</v>
      </c>
      <c r="L104" s="457">
        <v>1</v>
      </c>
      <c r="M104" s="457">
        <v>0</v>
      </c>
      <c r="N104" s="458"/>
    </row>
    <row r="105" spans="1:97" s="152" customFormat="1" ht="18" customHeight="1" thickTop="1" thickBot="1" x14ac:dyDescent="0.3">
      <c r="A105" s="136"/>
      <c r="B105" s="431"/>
      <c r="C105" s="138"/>
      <c r="D105" s="139"/>
      <c r="E105" s="139"/>
      <c r="F105" s="139"/>
      <c r="G105" s="139"/>
      <c r="H105" s="140"/>
      <c r="I105" s="140"/>
      <c r="J105" s="139"/>
      <c r="K105" s="139"/>
      <c r="L105" s="140"/>
      <c r="M105" s="140"/>
    </row>
    <row r="106" spans="1:97" s="63" customFormat="1" ht="30" customHeight="1" thickTop="1" thickBot="1" x14ac:dyDescent="0.3">
      <c r="A106" s="639" t="s">
        <v>0</v>
      </c>
      <c r="B106" s="639" t="s">
        <v>1</v>
      </c>
      <c r="C106" s="639" t="s">
        <v>2569</v>
      </c>
      <c r="D106" s="636" t="s">
        <v>1961</v>
      </c>
      <c r="E106" s="637"/>
      <c r="F106" s="637"/>
      <c r="G106" s="638"/>
      <c r="H106" s="636" t="s">
        <v>3</v>
      </c>
      <c r="I106" s="637"/>
      <c r="J106" s="636" t="s">
        <v>1962</v>
      </c>
      <c r="K106" s="637"/>
      <c r="L106" s="637"/>
      <c r="M106" s="638"/>
    </row>
    <row r="107" spans="1:97" s="63" customFormat="1" ht="34.5" customHeight="1" thickTop="1" thickBot="1" x14ac:dyDescent="0.3">
      <c r="A107" s="661"/>
      <c r="B107" s="661"/>
      <c r="C107" s="661"/>
      <c r="D107" s="389" t="s">
        <v>4</v>
      </c>
      <c r="E107" s="389" t="s">
        <v>5</v>
      </c>
      <c r="F107" s="389" t="s">
        <v>6</v>
      </c>
      <c r="G107" s="389" t="s">
        <v>7</v>
      </c>
      <c r="H107" s="389" t="s">
        <v>2</v>
      </c>
      <c r="I107" s="389" t="s">
        <v>3</v>
      </c>
      <c r="J107" s="389" t="s">
        <v>8</v>
      </c>
      <c r="K107" s="389" t="s">
        <v>9</v>
      </c>
      <c r="L107" s="389" t="s">
        <v>1963</v>
      </c>
      <c r="M107" s="389" t="s">
        <v>1964</v>
      </c>
    </row>
    <row r="108" spans="1:97" s="63" customFormat="1" ht="49.5" customHeight="1" thickTop="1" thickBot="1" x14ac:dyDescent="0.3">
      <c r="A108" s="307" t="s">
        <v>929</v>
      </c>
      <c r="B108" s="627" t="s">
        <v>2541</v>
      </c>
      <c r="C108" s="654" t="s">
        <v>18</v>
      </c>
      <c r="D108" s="659">
        <v>3</v>
      </c>
      <c r="E108" s="659">
        <v>30</v>
      </c>
      <c r="F108" s="659">
        <v>3</v>
      </c>
      <c r="G108" s="659">
        <v>848</v>
      </c>
      <c r="H108" s="657">
        <v>270000000</v>
      </c>
      <c r="I108" s="657">
        <v>89758520</v>
      </c>
      <c r="J108" s="416" t="s">
        <v>931</v>
      </c>
      <c r="K108" s="418" t="s">
        <v>20</v>
      </c>
      <c r="L108" s="417">
        <v>700</v>
      </c>
      <c r="M108" s="417">
        <v>240</v>
      </c>
    </row>
    <row r="109" spans="1:97" s="63" customFormat="1" ht="49.5" customHeight="1" thickTop="1" thickBot="1" x14ac:dyDescent="0.3">
      <c r="A109" s="307" t="s">
        <v>929</v>
      </c>
      <c r="B109" s="627" t="s">
        <v>2541</v>
      </c>
      <c r="C109" s="654"/>
      <c r="D109" s="659"/>
      <c r="E109" s="659"/>
      <c r="F109" s="659"/>
      <c r="G109" s="659"/>
      <c r="H109" s="657"/>
      <c r="I109" s="657"/>
      <c r="J109" s="416" t="s">
        <v>932</v>
      </c>
      <c r="K109" s="418" t="s">
        <v>75</v>
      </c>
      <c r="L109" s="417">
        <v>12500</v>
      </c>
      <c r="M109" s="417">
        <v>7300</v>
      </c>
    </row>
    <row r="110" spans="1:97" s="63" customFormat="1" ht="41.25" customHeight="1" thickTop="1" thickBot="1" x14ac:dyDescent="0.3">
      <c r="A110" s="307" t="s">
        <v>929</v>
      </c>
      <c r="B110" s="627" t="s">
        <v>2541</v>
      </c>
      <c r="C110" s="399" t="s">
        <v>440</v>
      </c>
      <c r="D110" s="398">
        <v>3</v>
      </c>
      <c r="E110" s="398">
        <v>30</v>
      </c>
      <c r="F110" s="398">
        <v>3</v>
      </c>
      <c r="G110" s="398">
        <v>520</v>
      </c>
      <c r="H110" s="396">
        <v>180000000</v>
      </c>
      <c r="I110" s="396">
        <v>76692020</v>
      </c>
      <c r="J110" s="416" t="s">
        <v>933</v>
      </c>
      <c r="K110" s="418" t="s">
        <v>13</v>
      </c>
      <c r="L110" s="417">
        <v>2</v>
      </c>
      <c r="M110" s="417">
        <v>1</v>
      </c>
    </row>
    <row r="111" spans="1:97" s="63" customFormat="1" ht="36.75" customHeight="1" thickTop="1" thickBot="1" x14ac:dyDescent="0.3">
      <c r="A111" s="307" t="s">
        <v>929</v>
      </c>
      <c r="B111" s="627" t="s">
        <v>2541</v>
      </c>
      <c r="C111" s="654" t="s">
        <v>53</v>
      </c>
      <c r="D111" s="398">
        <v>3</v>
      </c>
      <c r="E111" s="398">
        <v>30</v>
      </c>
      <c r="F111" s="398">
        <v>3</v>
      </c>
      <c r="G111" s="398">
        <v>520</v>
      </c>
      <c r="H111" s="396">
        <v>100000000</v>
      </c>
      <c r="I111" s="396">
        <v>0</v>
      </c>
      <c r="J111" s="416" t="s">
        <v>934</v>
      </c>
      <c r="K111" s="418" t="s">
        <v>55</v>
      </c>
      <c r="L111" s="417">
        <v>3</v>
      </c>
      <c r="M111" s="417">
        <v>0</v>
      </c>
    </row>
    <row r="112" spans="1:97" s="150" customFormat="1" ht="40.5" customHeight="1" thickTop="1" thickBot="1" x14ac:dyDescent="0.3">
      <c r="A112" s="307" t="s">
        <v>929</v>
      </c>
      <c r="B112" s="627" t="s">
        <v>2541</v>
      </c>
      <c r="C112" s="654"/>
      <c r="D112" s="398">
        <v>3</v>
      </c>
      <c r="E112" s="398">
        <v>30</v>
      </c>
      <c r="F112" s="398">
        <v>3</v>
      </c>
      <c r="G112" s="398">
        <v>520</v>
      </c>
      <c r="H112" s="396">
        <v>350000000</v>
      </c>
      <c r="I112" s="396">
        <v>309900000</v>
      </c>
      <c r="J112" s="416" t="s">
        <v>935</v>
      </c>
      <c r="K112" s="418" t="s">
        <v>55</v>
      </c>
      <c r="L112" s="417">
        <v>5</v>
      </c>
      <c r="M112" s="417">
        <v>4</v>
      </c>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52"/>
      <c r="CG112" s="152"/>
      <c r="CH112" s="152"/>
      <c r="CI112" s="152"/>
      <c r="CJ112" s="152"/>
      <c r="CK112" s="152"/>
      <c r="CL112" s="152"/>
      <c r="CM112" s="152"/>
      <c r="CN112" s="152"/>
      <c r="CO112" s="152"/>
      <c r="CP112" s="152"/>
      <c r="CQ112" s="152"/>
      <c r="CR112" s="152"/>
      <c r="CS112" s="173"/>
    </row>
    <row r="113" spans="1:13" s="152" customFormat="1" ht="18" customHeight="1" thickTop="1" thickBot="1" x14ac:dyDescent="0.3">
      <c r="A113" s="171"/>
      <c r="B113" s="433"/>
      <c r="C113" s="170"/>
      <c r="D113" s="165"/>
      <c r="E113" s="165"/>
      <c r="F113" s="165"/>
      <c r="G113" s="165"/>
      <c r="H113" s="172"/>
      <c r="I113" s="172"/>
      <c r="J113" s="165"/>
      <c r="K113" s="165"/>
      <c r="L113" s="172"/>
      <c r="M113" s="172"/>
    </row>
    <row r="114" spans="1:13" s="63" customFormat="1" ht="30" customHeight="1" thickTop="1" thickBot="1" x14ac:dyDescent="0.3">
      <c r="A114" s="639" t="s">
        <v>0</v>
      </c>
      <c r="B114" s="639" t="s">
        <v>1</v>
      </c>
      <c r="C114" s="639" t="s">
        <v>2569</v>
      </c>
      <c r="D114" s="636" t="s">
        <v>1961</v>
      </c>
      <c r="E114" s="637"/>
      <c r="F114" s="637"/>
      <c r="G114" s="638"/>
      <c r="H114" s="636" t="s">
        <v>3</v>
      </c>
      <c r="I114" s="637"/>
      <c r="J114" s="636" t="s">
        <v>1962</v>
      </c>
      <c r="K114" s="637"/>
      <c r="L114" s="637"/>
      <c r="M114" s="638"/>
    </row>
    <row r="115" spans="1:13" s="63" customFormat="1" ht="34.5" customHeight="1" thickTop="1" thickBot="1" x14ac:dyDescent="0.3">
      <c r="A115" s="661"/>
      <c r="B115" s="661"/>
      <c r="C115" s="661"/>
      <c r="D115" s="389" t="s">
        <v>4</v>
      </c>
      <c r="E115" s="389" t="s">
        <v>5</v>
      </c>
      <c r="F115" s="389" t="s">
        <v>6</v>
      </c>
      <c r="G115" s="389" t="s">
        <v>7</v>
      </c>
      <c r="H115" s="389" t="s">
        <v>2</v>
      </c>
      <c r="I115" s="389" t="s">
        <v>3</v>
      </c>
      <c r="J115" s="389" t="s">
        <v>8</v>
      </c>
      <c r="K115" s="389" t="s">
        <v>9</v>
      </c>
      <c r="L115" s="389" t="s">
        <v>1963</v>
      </c>
      <c r="M115" s="389" t="s">
        <v>1964</v>
      </c>
    </row>
    <row r="116" spans="1:13" s="63" customFormat="1" ht="51" customHeight="1" thickTop="1" thickBot="1" x14ac:dyDescent="0.3">
      <c r="A116" s="399" t="s">
        <v>2542</v>
      </c>
      <c r="B116" s="627" t="s">
        <v>2541</v>
      </c>
      <c r="C116" s="654" t="s">
        <v>18</v>
      </c>
      <c r="D116" s="659">
        <v>3</v>
      </c>
      <c r="E116" s="659">
        <v>30</v>
      </c>
      <c r="F116" s="659">
        <v>3</v>
      </c>
      <c r="G116" s="659">
        <v>848</v>
      </c>
      <c r="H116" s="708">
        <v>510000000</v>
      </c>
      <c r="I116" s="708">
        <f>119729980+172007700</f>
        <v>291737680</v>
      </c>
      <c r="J116" s="416" t="s">
        <v>893</v>
      </c>
      <c r="K116" s="418" t="s">
        <v>20</v>
      </c>
      <c r="L116" s="418">
        <v>251</v>
      </c>
      <c r="M116" s="443">
        <v>251</v>
      </c>
    </row>
    <row r="117" spans="1:13" s="63" customFormat="1" ht="54.75" customHeight="1" thickTop="1" thickBot="1" x14ac:dyDescent="0.3">
      <c r="A117" s="625" t="s">
        <v>2542</v>
      </c>
      <c r="B117" s="307" t="s">
        <v>841</v>
      </c>
      <c r="C117" s="654"/>
      <c r="D117" s="659"/>
      <c r="E117" s="659"/>
      <c r="F117" s="659"/>
      <c r="G117" s="659"/>
      <c r="H117" s="708"/>
      <c r="I117" s="708"/>
      <c r="J117" s="416" t="s">
        <v>894</v>
      </c>
      <c r="K117" s="418" t="s">
        <v>75</v>
      </c>
      <c r="L117" s="418">
        <v>30120</v>
      </c>
      <c r="M117" s="443">
        <v>20000</v>
      </c>
    </row>
    <row r="118" spans="1:13" s="63" customFormat="1" ht="48.75" customHeight="1" thickTop="1" thickBot="1" x14ac:dyDescent="0.3">
      <c r="A118" s="625" t="s">
        <v>2542</v>
      </c>
      <c r="B118" s="307" t="s">
        <v>841</v>
      </c>
      <c r="C118" s="413" t="s">
        <v>2105</v>
      </c>
      <c r="D118" s="398">
        <v>3</v>
      </c>
      <c r="E118" s="398">
        <v>30</v>
      </c>
      <c r="F118" s="398">
        <v>3</v>
      </c>
      <c r="G118" s="398">
        <v>520</v>
      </c>
      <c r="H118" s="214">
        <v>340000000</v>
      </c>
      <c r="I118" s="214">
        <v>52598000</v>
      </c>
      <c r="J118" s="416" t="s">
        <v>895</v>
      </c>
      <c r="K118" s="418" t="s">
        <v>11</v>
      </c>
      <c r="L118" s="443">
        <v>6200</v>
      </c>
      <c r="M118" s="443">
        <v>970</v>
      </c>
    </row>
    <row r="119" spans="1:13" s="63" customFormat="1" ht="48.75" customHeight="1" thickTop="1" thickBot="1" x14ac:dyDescent="0.3">
      <c r="A119" s="625" t="s">
        <v>2542</v>
      </c>
      <c r="B119" s="307" t="s">
        <v>841</v>
      </c>
      <c r="C119" s="654" t="s">
        <v>53</v>
      </c>
      <c r="D119" s="398">
        <v>3</v>
      </c>
      <c r="E119" s="398">
        <v>30</v>
      </c>
      <c r="F119" s="398">
        <v>3</v>
      </c>
      <c r="G119" s="398">
        <v>520</v>
      </c>
      <c r="H119" s="214">
        <v>450000000</v>
      </c>
      <c r="I119" s="214">
        <f>334184071+83278520</f>
        <v>417462591</v>
      </c>
      <c r="J119" s="416" t="s">
        <v>896</v>
      </c>
      <c r="K119" s="418" t="s">
        <v>55</v>
      </c>
      <c r="L119" s="443">
        <v>4</v>
      </c>
      <c r="M119" s="443">
        <v>4</v>
      </c>
    </row>
    <row r="120" spans="1:13" s="63" customFormat="1" ht="48.75" customHeight="1" thickTop="1" thickBot="1" x14ac:dyDescent="0.3">
      <c r="A120" s="625" t="s">
        <v>2542</v>
      </c>
      <c r="B120" s="307" t="s">
        <v>841</v>
      </c>
      <c r="C120" s="654"/>
      <c r="D120" s="398">
        <v>3</v>
      </c>
      <c r="E120" s="398">
        <v>30</v>
      </c>
      <c r="F120" s="398">
        <v>3</v>
      </c>
      <c r="G120" s="398">
        <v>520</v>
      </c>
      <c r="H120" s="214">
        <v>400000000</v>
      </c>
      <c r="I120" s="214">
        <f>245000000+49000000+91000000</f>
        <v>385000000</v>
      </c>
      <c r="J120" s="416" t="s">
        <v>897</v>
      </c>
      <c r="K120" s="418" t="s">
        <v>55</v>
      </c>
      <c r="L120" s="418">
        <v>3</v>
      </c>
      <c r="M120" s="443">
        <v>3</v>
      </c>
    </row>
    <row r="121" spans="1:13" s="152" customFormat="1" ht="19.149999999999999" customHeight="1" thickTop="1" thickBot="1" x14ac:dyDescent="0.3">
      <c r="A121" s="436"/>
      <c r="B121" s="437"/>
      <c r="C121" s="158"/>
      <c r="D121" s="165"/>
      <c r="E121" s="165"/>
      <c r="F121" s="165"/>
      <c r="G121" s="165"/>
      <c r="H121" s="438"/>
      <c r="I121" s="438"/>
      <c r="J121" s="165"/>
      <c r="K121" s="165"/>
      <c r="L121" s="165"/>
      <c r="M121" s="438"/>
    </row>
    <row r="122" spans="1:13" s="63" customFormat="1" ht="30" customHeight="1" thickTop="1" thickBot="1" x14ac:dyDescent="0.3">
      <c r="A122" s="639" t="s">
        <v>0</v>
      </c>
      <c r="B122" s="639" t="s">
        <v>1</v>
      </c>
      <c r="C122" s="639" t="s">
        <v>2569</v>
      </c>
      <c r="D122" s="636" t="s">
        <v>1961</v>
      </c>
      <c r="E122" s="637"/>
      <c r="F122" s="637"/>
      <c r="G122" s="638"/>
      <c r="H122" s="636" t="s">
        <v>3</v>
      </c>
      <c r="I122" s="637"/>
      <c r="J122" s="636" t="s">
        <v>1962</v>
      </c>
      <c r="K122" s="637"/>
      <c r="L122" s="637"/>
      <c r="M122" s="638"/>
    </row>
    <row r="123" spans="1:13" s="63" customFormat="1" ht="34.5" customHeight="1" thickTop="1" thickBot="1" x14ac:dyDescent="0.3">
      <c r="A123" s="661"/>
      <c r="B123" s="661"/>
      <c r="C123" s="661"/>
      <c r="D123" s="389" t="s">
        <v>4</v>
      </c>
      <c r="E123" s="389" t="s">
        <v>5</v>
      </c>
      <c r="F123" s="389" t="s">
        <v>6</v>
      </c>
      <c r="G123" s="389" t="s">
        <v>7</v>
      </c>
      <c r="H123" s="389" t="s">
        <v>2</v>
      </c>
      <c r="I123" s="389" t="s">
        <v>3</v>
      </c>
      <c r="J123" s="389" t="s">
        <v>8</v>
      </c>
      <c r="K123" s="389" t="s">
        <v>9</v>
      </c>
      <c r="L123" s="389" t="s">
        <v>1963</v>
      </c>
      <c r="M123" s="389" t="s">
        <v>1964</v>
      </c>
    </row>
    <row r="124" spans="1:13" s="63" customFormat="1" ht="57" customHeight="1" thickTop="1" thickBot="1" x14ac:dyDescent="0.3">
      <c r="A124" s="307" t="s">
        <v>930</v>
      </c>
      <c r="B124" s="307" t="s">
        <v>841</v>
      </c>
      <c r="C124" s="654" t="s">
        <v>18</v>
      </c>
      <c r="D124" s="659">
        <v>3</v>
      </c>
      <c r="E124" s="659">
        <v>30</v>
      </c>
      <c r="F124" s="659">
        <v>3</v>
      </c>
      <c r="G124" s="659">
        <v>848</v>
      </c>
      <c r="H124" s="709">
        <v>330000000</v>
      </c>
      <c r="I124" s="709">
        <v>314435400</v>
      </c>
      <c r="J124" s="416" t="s">
        <v>898</v>
      </c>
      <c r="K124" s="418" t="s">
        <v>20</v>
      </c>
      <c r="L124" s="418">
        <v>232</v>
      </c>
      <c r="M124" s="443">
        <v>220</v>
      </c>
    </row>
    <row r="125" spans="1:13" s="63" customFormat="1" ht="54" customHeight="1" thickTop="1" thickBot="1" x14ac:dyDescent="0.3">
      <c r="A125" s="307" t="s">
        <v>930</v>
      </c>
      <c r="B125" s="307" t="s">
        <v>841</v>
      </c>
      <c r="C125" s="654"/>
      <c r="D125" s="659"/>
      <c r="E125" s="659"/>
      <c r="F125" s="659"/>
      <c r="G125" s="659"/>
      <c r="H125" s="709"/>
      <c r="I125" s="709"/>
      <c r="J125" s="416" t="s">
        <v>899</v>
      </c>
      <c r="K125" s="418" t="s">
        <v>75</v>
      </c>
      <c r="L125" s="418">
        <v>27144</v>
      </c>
      <c r="M125" s="443">
        <v>27000</v>
      </c>
    </row>
    <row r="126" spans="1:13" s="63" customFormat="1" ht="43.5" customHeight="1" thickTop="1" thickBot="1" x14ac:dyDescent="0.3">
      <c r="A126" s="307" t="s">
        <v>930</v>
      </c>
      <c r="B126" s="307" t="s">
        <v>841</v>
      </c>
      <c r="C126" s="413" t="s">
        <v>2105</v>
      </c>
      <c r="D126" s="398">
        <v>3</v>
      </c>
      <c r="E126" s="398">
        <v>30</v>
      </c>
      <c r="F126" s="398">
        <v>3</v>
      </c>
      <c r="G126" s="398">
        <v>520</v>
      </c>
      <c r="H126" s="214">
        <v>140000000</v>
      </c>
      <c r="I126" s="214">
        <v>93240000</v>
      </c>
      <c r="J126" s="416" t="s">
        <v>900</v>
      </c>
      <c r="K126" s="418" t="s">
        <v>11</v>
      </c>
      <c r="L126" s="443">
        <v>2600</v>
      </c>
      <c r="M126" s="443">
        <v>1680</v>
      </c>
    </row>
    <row r="127" spans="1:13" s="63" customFormat="1" ht="34.5" customHeight="1" thickTop="1" thickBot="1" x14ac:dyDescent="0.3">
      <c r="A127" s="307" t="s">
        <v>930</v>
      </c>
      <c r="B127" s="307" t="s">
        <v>841</v>
      </c>
      <c r="C127" s="654" t="s">
        <v>300</v>
      </c>
      <c r="D127" s="398">
        <v>3</v>
      </c>
      <c r="E127" s="398">
        <v>30</v>
      </c>
      <c r="F127" s="398">
        <v>3</v>
      </c>
      <c r="G127" s="398">
        <v>520</v>
      </c>
      <c r="H127" s="214">
        <v>350000000</v>
      </c>
      <c r="I127" s="214">
        <v>207336299</v>
      </c>
      <c r="J127" s="416" t="s">
        <v>901</v>
      </c>
      <c r="K127" s="418" t="s">
        <v>55</v>
      </c>
      <c r="L127" s="443">
        <v>3</v>
      </c>
      <c r="M127" s="443">
        <v>2</v>
      </c>
    </row>
    <row r="128" spans="1:13" s="63" customFormat="1" ht="39" customHeight="1" thickTop="1" thickBot="1" x14ac:dyDescent="0.3">
      <c r="A128" s="307" t="s">
        <v>930</v>
      </c>
      <c r="B128" s="307" t="s">
        <v>841</v>
      </c>
      <c r="C128" s="654"/>
      <c r="D128" s="398">
        <v>3</v>
      </c>
      <c r="E128" s="398">
        <v>30</v>
      </c>
      <c r="F128" s="398">
        <v>3</v>
      </c>
      <c r="G128" s="398">
        <v>520</v>
      </c>
      <c r="H128" s="214">
        <v>280000000</v>
      </c>
      <c r="I128" s="214">
        <v>137195000</v>
      </c>
      <c r="J128" s="416" t="s">
        <v>897</v>
      </c>
      <c r="K128" s="418" t="s">
        <v>55</v>
      </c>
      <c r="L128" s="418">
        <v>3</v>
      </c>
      <c r="M128" s="443">
        <v>1</v>
      </c>
    </row>
    <row r="129" spans="1:13" s="63" customFormat="1" ht="15.75" customHeight="1" thickTop="1" thickBot="1" x14ac:dyDescent="0.3"/>
    <row r="130" spans="1:13" s="63" customFormat="1" ht="30" customHeight="1" thickTop="1" thickBot="1" x14ac:dyDescent="0.3">
      <c r="A130" s="639" t="s">
        <v>0</v>
      </c>
      <c r="B130" s="639" t="s">
        <v>1</v>
      </c>
      <c r="C130" s="639" t="s">
        <v>2569</v>
      </c>
      <c r="D130" s="636" t="s">
        <v>1961</v>
      </c>
      <c r="E130" s="637"/>
      <c r="F130" s="637"/>
      <c r="G130" s="638"/>
      <c r="H130" s="636" t="s">
        <v>3</v>
      </c>
      <c r="I130" s="637"/>
      <c r="J130" s="636" t="s">
        <v>1962</v>
      </c>
      <c r="K130" s="637"/>
      <c r="L130" s="637"/>
      <c r="M130" s="638"/>
    </row>
    <row r="131" spans="1:13" s="63" customFormat="1" ht="34.5" customHeight="1" thickTop="1" thickBot="1" x14ac:dyDescent="0.3">
      <c r="A131" s="640"/>
      <c r="B131" s="640"/>
      <c r="C131" s="640"/>
      <c r="D131" s="209" t="s">
        <v>4</v>
      </c>
      <c r="E131" s="209" t="s">
        <v>5</v>
      </c>
      <c r="F131" s="209" t="s">
        <v>6</v>
      </c>
      <c r="G131" s="209" t="s">
        <v>7</v>
      </c>
      <c r="H131" s="209" t="s">
        <v>2</v>
      </c>
      <c r="I131" s="209" t="s">
        <v>3</v>
      </c>
      <c r="J131" s="209" t="s">
        <v>8</v>
      </c>
      <c r="K131" s="389" t="s">
        <v>9</v>
      </c>
      <c r="L131" s="389" t="s">
        <v>1963</v>
      </c>
      <c r="M131" s="389" t="s">
        <v>1964</v>
      </c>
    </row>
    <row r="132" spans="1:13" s="83" customFormat="1" ht="46.5" thickTop="1" thickBot="1" x14ac:dyDescent="0.3">
      <c r="A132" s="399" t="s">
        <v>956</v>
      </c>
      <c r="B132" s="307" t="s">
        <v>841</v>
      </c>
      <c r="C132" s="399" t="s">
        <v>18</v>
      </c>
      <c r="D132" s="398">
        <v>3</v>
      </c>
      <c r="E132" s="398">
        <v>30</v>
      </c>
      <c r="F132" s="398">
        <v>3</v>
      </c>
      <c r="G132" s="398">
        <v>848</v>
      </c>
      <c r="H132" s="214">
        <v>287909098</v>
      </c>
      <c r="I132" s="214">
        <v>182568594</v>
      </c>
      <c r="J132" s="416" t="s">
        <v>936</v>
      </c>
      <c r="K132" s="418" t="s">
        <v>20</v>
      </c>
      <c r="L132" s="443">
        <v>900</v>
      </c>
      <c r="M132" s="443">
        <v>567</v>
      </c>
    </row>
    <row r="133" spans="1:13" s="83" customFormat="1" ht="50.25" customHeight="1" thickTop="1" thickBot="1" x14ac:dyDescent="0.3">
      <c r="A133" s="399" t="s">
        <v>956</v>
      </c>
      <c r="B133" s="307" t="s">
        <v>841</v>
      </c>
      <c r="C133" s="399" t="s">
        <v>53</v>
      </c>
      <c r="D133" s="398">
        <v>3</v>
      </c>
      <c r="E133" s="398">
        <v>30</v>
      </c>
      <c r="F133" s="398">
        <v>3</v>
      </c>
      <c r="G133" s="398">
        <v>520</v>
      </c>
      <c r="H133" s="214">
        <v>671787896</v>
      </c>
      <c r="I133" s="214">
        <v>537540781</v>
      </c>
      <c r="J133" s="416" t="s">
        <v>937</v>
      </c>
      <c r="K133" s="418" t="s">
        <v>55</v>
      </c>
      <c r="L133" s="443">
        <v>5</v>
      </c>
      <c r="M133" s="443">
        <v>4</v>
      </c>
    </row>
    <row r="134" spans="1:13" s="123" customFormat="1" ht="16.5" thickTop="1" thickBot="1" x14ac:dyDescent="0.3">
      <c r="A134" s="153"/>
      <c r="B134" s="136"/>
      <c r="C134" s="169"/>
      <c r="D134" s="169"/>
      <c r="E134" s="169"/>
      <c r="F134" s="167"/>
      <c r="G134" s="169"/>
      <c r="H134" s="24"/>
      <c r="I134" s="24"/>
      <c r="J134" s="169"/>
      <c r="K134" s="24"/>
      <c r="L134" s="24"/>
      <c r="M134" s="24"/>
    </row>
    <row r="135" spans="1:13" s="63" customFormat="1" ht="30" customHeight="1" thickTop="1" thickBot="1" x14ac:dyDescent="0.3">
      <c r="A135" s="639" t="s">
        <v>0</v>
      </c>
      <c r="B135" s="639" t="s">
        <v>1</v>
      </c>
      <c r="C135" s="639" t="s">
        <v>2569</v>
      </c>
      <c r="D135" s="636" t="s">
        <v>1961</v>
      </c>
      <c r="E135" s="637"/>
      <c r="F135" s="637"/>
      <c r="G135" s="638"/>
      <c r="H135" s="636" t="s">
        <v>3</v>
      </c>
      <c r="I135" s="637"/>
      <c r="J135" s="636" t="s">
        <v>1962</v>
      </c>
      <c r="K135" s="637"/>
      <c r="L135" s="637"/>
      <c r="M135" s="638"/>
    </row>
    <row r="136" spans="1:13" s="63" customFormat="1" ht="34.5" customHeight="1" thickTop="1" thickBot="1" x14ac:dyDescent="0.3">
      <c r="A136" s="661"/>
      <c r="B136" s="661"/>
      <c r="C136" s="661"/>
      <c r="D136" s="389" t="s">
        <v>4</v>
      </c>
      <c r="E136" s="389" t="s">
        <v>5</v>
      </c>
      <c r="F136" s="389" t="s">
        <v>6</v>
      </c>
      <c r="G136" s="389" t="s">
        <v>7</v>
      </c>
      <c r="H136" s="389" t="s">
        <v>2</v>
      </c>
      <c r="I136" s="389" t="s">
        <v>3</v>
      </c>
      <c r="J136" s="389" t="s">
        <v>8</v>
      </c>
      <c r="K136" s="389" t="s">
        <v>9</v>
      </c>
      <c r="L136" s="389" t="s">
        <v>1963</v>
      </c>
      <c r="M136" s="389" t="s">
        <v>1964</v>
      </c>
    </row>
    <row r="137" spans="1:13" s="83" customFormat="1" ht="46.5" thickTop="1" thickBot="1" x14ac:dyDescent="0.3">
      <c r="A137" s="307" t="s">
        <v>2474</v>
      </c>
      <c r="B137" s="307" t="s">
        <v>841</v>
      </c>
      <c r="C137" s="399" t="s">
        <v>18</v>
      </c>
      <c r="D137" s="399">
        <v>3</v>
      </c>
      <c r="E137" s="399">
        <v>30</v>
      </c>
      <c r="F137" s="399">
        <v>3</v>
      </c>
      <c r="G137" s="399">
        <v>848</v>
      </c>
      <c r="H137" s="444">
        <v>648777776</v>
      </c>
      <c r="I137" s="396">
        <v>442188180</v>
      </c>
      <c r="J137" s="416" t="s">
        <v>938</v>
      </c>
      <c r="K137" s="418" t="s">
        <v>20</v>
      </c>
      <c r="L137" s="297">
        <v>303</v>
      </c>
      <c r="M137" s="297">
        <v>303</v>
      </c>
    </row>
    <row r="138" spans="1:13" s="83" customFormat="1" ht="28.5" customHeight="1" thickTop="1" thickBot="1" x14ac:dyDescent="0.3">
      <c r="A138" s="307" t="s">
        <v>2474</v>
      </c>
      <c r="B138" s="307" t="s">
        <v>841</v>
      </c>
      <c r="C138" s="654" t="s">
        <v>53</v>
      </c>
      <c r="D138" s="399">
        <v>3</v>
      </c>
      <c r="E138" s="399">
        <v>30</v>
      </c>
      <c r="F138" s="399">
        <v>3</v>
      </c>
      <c r="G138" s="399">
        <v>520</v>
      </c>
      <c r="H138" s="444">
        <v>180592467</v>
      </c>
      <c r="I138" s="396">
        <v>0</v>
      </c>
      <c r="J138" s="416" t="s">
        <v>939</v>
      </c>
      <c r="K138" s="418" t="s">
        <v>641</v>
      </c>
      <c r="L138" s="297">
        <v>2</v>
      </c>
      <c r="M138" s="297">
        <v>0</v>
      </c>
    </row>
    <row r="139" spans="1:13" s="83" customFormat="1" ht="28.5" customHeight="1" thickTop="1" thickBot="1" x14ac:dyDescent="0.3">
      <c r="A139" s="307" t="s">
        <v>2474</v>
      </c>
      <c r="B139" s="307" t="s">
        <v>841</v>
      </c>
      <c r="C139" s="654"/>
      <c r="D139" s="399">
        <v>3</v>
      </c>
      <c r="E139" s="399">
        <v>30</v>
      </c>
      <c r="F139" s="399">
        <v>3</v>
      </c>
      <c r="G139" s="399">
        <v>520</v>
      </c>
      <c r="H139" s="444">
        <f>80000000*2</f>
        <v>160000000</v>
      </c>
      <c r="I139" s="396">
        <v>0</v>
      </c>
      <c r="J139" s="416" t="s">
        <v>940</v>
      </c>
      <c r="K139" s="418" t="s">
        <v>28</v>
      </c>
      <c r="L139" s="297">
        <v>2</v>
      </c>
      <c r="M139" s="297">
        <v>0</v>
      </c>
    </row>
    <row r="140" spans="1:13" s="83" customFormat="1" ht="28.5" customHeight="1" thickTop="1" thickBot="1" x14ac:dyDescent="0.3">
      <c r="A140" s="307" t="s">
        <v>2474</v>
      </c>
      <c r="B140" s="307" t="s">
        <v>841</v>
      </c>
      <c r="C140" s="654"/>
      <c r="D140" s="399">
        <v>3</v>
      </c>
      <c r="E140" s="399">
        <v>30</v>
      </c>
      <c r="F140" s="399">
        <v>3</v>
      </c>
      <c r="G140" s="399">
        <v>520</v>
      </c>
      <c r="H140" s="444">
        <f>91240000+85000000+85000000</f>
        <v>261240000</v>
      </c>
      <c r="I140" s="396">
        <v>167428000</v>
      </c>
      <c r="J140" s="416" t="s">
        <v>941</v>
      </c>
      <c r="K140" s="418" t="s">
        <v>25</v>
      </c>
      <c r="L140" s="297">
        <v>3</v>
      </c>
      <c r="M140" s="297">
        <v>1</v>
      </c>
    </row>
    <row r="141" spans="1:13" s="83" customFormat="1" ht="28.5" customHeight="1" thickTop="1" thickBot="1" x14ac:dyDescent="0.3">
      <c r="A141" s="307" t="s">
        <v>2474</v>
      </c>
      <c r="B141" s="307" t="s">
        <v>841</v>
      </c>
      <c r="C141" s="654"/>
      <c r="D141" s="399">
        <v>3</v>
      </c>
      <c r="E141" s="399">
        <v>30</v>
      </c>
      <c r="F141" s="399">
        <v>3</v>
      </c>
      <c r="G141" s="399">
        <v>520</v>
      </c>
      <c r="H141" s="444">
        <f>70000000*4</f>
        <v>280000000</v>
      </c>
      <c r="I141" s="396">
        <v>80715555</v>
      </c>
      <c r="J141" s="416" t="s">
        <v>942</v>
      </c>
      <c r="K141" s="418" t="s">
        <v>55</v>
      </c>
      <c r="L141" s="297">
        <v>4</v>
      </c>
      <c r="M141" s="297">
        <v>1</v>
      </c>
    </row>
    <row r="142" spans="1:13" s="83" customFormat="1" ht="121.5" customHeight="1" thickTop="1" thickBot="1" x14ac:dyDescent="0.3">
      <c r="A142" s="307" t="s">
        <v>2474</v>
      </c>
      <c r="B142" s="307" t="s">
        <v>841</v>
      </c>
      <c r="C142" s="651" t="s">
        <v>2105</v>
      </c>
      <c r="D142" s="399">
        <v>3</v>
      </c>
      <c r="E142" s="399">
        <v>30</v>
      </c>
      <c r="F142" s="399">
        <v>3</v>
      </c>
      <c r="G142" s="399">
        <v>520</v>
      </c>
      <c r="H142" s="444">
        <v>431518517</v>
      </c>
      <c r="I142" s="396">
        <v>310489475</v>
      </c>
      <c r="J142" s="416" t="s">
        <v>2106</v>
      </c>
      <c r="K142" s="418" t="s">
        <v>11</v>
      </c>
      <c r="L142" s="417">
        <v>8230</v>
      </c>
      <c r="M142" s="417">
        <v>6000</v>
      </c>
    </row>
    <row r="143" spans="1:13" s="83" customFormat="1" ht="30.75" customHeight="1" thickTop="1" thickBot="1" x14ac:dyDescent="0.3">
      <c r="A143" s="307" t="s">
        <v>2474</v>
      </c>
      <c r="B143" s="307" t="s">
        <v>841</v>
      </c>
      <c r="C143" s="653"/>
      <c r="D143" s="399">
        <v>3</v>
      </c>
      <c r="E143" s="399">
        <v>30</v>
      </c>
      <c r="F143" s="399">
        <v>3</v>
      </c>
      <c r="G143" s="399">
        <v>530</v>
      </c>
      <c r="H143" s="444">
        <v>1000000</v>
      </c>
      <c r="I143" s="396">
        <v>0</v>
      </c>
      <c r="J143" s="416" t="s">
        <v>943</v>
      </c>
      <c r="K143" s="418" t="s">
        <v>17</v>
      </c>
      <c r="L143" s="297">
        <v>1</v>
      </c>
      <c r="M143" s="417">
        <v>0</v>
      </c>
    </row>
    <row r="144" spans="1:13" s="83" customFormat="1" ht="28.5" customHeight="1" thickTop="1" thickBot="1" x14ac:dyDescent="0.3">
      <c r="A144" s="307" t="s">
        <v>2474</v>
      </c>
      <c r="B144" s="307" t="s">
        <v>841</v>
      </c>
      <c r="C144" s="651" t="s">
        <v>105</v>
      </c>
      <c r="D144" s="399">
        <v>3</v>
      </c>
      <c r="E144" s="399">
        <v>30</v>
      </c>
      <c r="F144" s="399">
        <v>3</v>
      </c>
      <c r="G144" s="399">
        <v>540</v>
      </c>
      <c r="H144" s="444">
        <v>1000000</v>
      </c>
      <c r="I144" s="396">
        <v>0</v>
      </c>
      <c r="J144" s="416" t="s">
        <v>944</v>
      </c>
      <c r="K144" s="459" t="s">
        <v>383</v>
      </c>
      <c r="L144" s="297">
        <v>1</v>
      </c>
      <c r="M144" s="417">
        <v>0</v>
      </c>
    </row>
    <row r="145" spans="1:13" s="83" customFormat="1" ht="28.5" customHeight="1" thickTop="1" thickBot="1" x14ac:dyDescent="0.3">
      <c r="A145" s="307" t="s">
        <v>2474</v>
      </c>
      <c r="B145" s="307" t="s">
        <v>841</v>
      </c>
      <c r="C145" s="653"/>
      <c r="D145" s="399">
        <v>3</v>
      </c>
      <c r="E145" s="399">
        <v>30</v>
      </c>
      <c r="F145" s="399">
        <v>3</v>
      </c>
      <c r="G145" s="399">
        <v>540</v>
      </c>
      <c r="H145" s="444">
        <v>11000000</v>
      </c>
      <c r="I145" s="396">
        <v>10810000</v>
      </c>
      <c r="J145" s="416" t="s">
        <v>945</v>
      </c>
      <c r="K145" s="418" t="s">
        <v>578</v>
      </c>
      <c r="L145" s="297">
        <v>132</v>
      </c>
      <c r="M145" s="417">
        <f>L145</f>
        <v>132</v>
      </c>
    </row>
    <row r="146" spans="1:13" s="83" customFormat="1" ht="28.5" customHeight="1" thickTop="1" thickBot="1" x14ac:dyDescent="0.3">
      <c r="A146" s="307" t="s">
        <v>2474</v>
      </c>
      <c r="B146" s="307" t="s">
        <v>841</v>
      </c>
      <c r="C146" s="651" t="s">
        <v>53</v>
      </c>
      <c r="D146" s="399">
        <v>3</v>
      </c>
      <c r="E146" s="399">
        <v>30</v>
      </c>
      <c r="F146" s="399">
        <v>3</v>
      </c>
      <c r="G146" s="399">
        <v>590</v>
      </c>
      <c r="H146" s="444">
        <v>1000000</v>
      </c>
      <c r="I146" s="396">
        <v>0</v>
      </c>
      <c r="J146" s="416" t="s">
        <v>946</v>
      </c>
      <c r="K146" s="418" t="s">
        <v>55</v>
      </c>
      <c r="L146" s="297">
        <v>1</v>
      </c>
      <c r="M146" s="417">
        <v>0</v>
      </c>
    </row>
    <row r="147" spans="1:13" s="83" customFormat="1" ht="96" customHeight="1" thickTop="1" thickBot="1" x14ac:dyDescent="0.3">
      <c r="A147" s="307" t="s">
        <v>2474</v>
      </c>
      <c r="B147" s="307" t="s">
        <v>841</v>
      </c>
      <c r="C147" s="653"/>
      <c r="D147" s="399">
        <v>3</v>
      </c>
      <c r="E147" s="399">
        <v>30</v>
      </c>
      <c r="F147" s="399">
        <v>3</v>
      </c>
      <c r="G147" s="399">
        <v>980</v>
      </c>
      <c r="H147" s="444">
        <v>186463827</v>
      </c>
      <c r="I147" s="396">
        <v>182895567</v>
      </c>
      <c r="J147" s="416" t="s">
        <v>947</v>
      </c>
      <c r="K147" s="418" t="s">
        <v>16</v>
      </c>
      <c r="L147" s="297">
        <v>6</v>
      </c>
      <c r="M147" s="297">
        <v>6</v>
      </c>
    </row>
    <row r="148" spans="1:13" s="123" customFormat="1" ht="16.5" thickTop="1" thickBot="1" x14ac:dyDescent="0.3">
      <c r="A148" s="439"/>
      <c r="B148" s="440"/>
      <c r="C148" s="184"/>
      <c r="D148" s="184"/>
      <c r="E148" s="184"/>
      <c r="F148" s="184"/>
      <c r="G148" s="184"/>
      <c r="H148" s="441"/>
      <c r="I148" s="172"/>
      <c r="J148" s="157"/>
      <c r="K148" s="157"/>
      <c r="L148" s="442"/>
      <c r="M148" s="442"/>
    </row>
    <row r="149" spans="1:13" s="63" customFormat="1" ht="30" customHeight="1" thickTop="1" thickBot="1" x14ac:dyDescent="0.3">
      <c r="A149" s="639" t="s">
        <v>0</v>
      </c>
      <c r="B149" s="639" t="s">
        <v>1</v>
      </c>
      <c r="C149" s="639" t="s">
        <v>2569</v>
      </c>
      <c r="D149" s="636" t="s">
        <v>1961</v>
      </c>
      <c r="E149" s="637"/>
      <c r="F149" s="637"/>
      <c r="G149" s="638"/>
      <c r="H149" s="636" t="s">
        <v>3</v>
      </c>
      <c r="I149" s="637"/>
      <c r="J149" s="636" t="s">
        <v>1962</v>
      </c>
      <c r="K149" s="637"/>
      <c r="L149" s="637"/>
      <c r="M149" s="638"/>
    </row>
    <row r="150" spans="1:13" s="63" customFormat="1" ht="34.5" customHeight="1" thickTop="1" thickBot="1" x14ac:dyDescent="0.3">
      <c r="A150" s="661"/>
      <c r="B150" s="661"/>
      <c r="C150" s="661"/>
      <c r="D150" s="389" t="s">
        <v>4</v>
      </c>
      <c r="E150" s="389" t="s">
        <v>5</v>
      </c>
      <c r="F150" s="389" t="s">
        <v>6</v>
      </c>
      <c r="G150" s="389" t="s">
        <v>7</v>
      </c>
      <c r="H150" s="389" t="s">
        <v>2</v>
      </c>
      <c r="I150" s="389" t="s">
        <v>3</v>
      </c>
      <c r="J150" s="389" t="s">
        <v>8</v>
      </c>
      <c r="K150" s="389" t="s">
        <v>9</v>
      </c>
      <c r="L150" s="389" t="s">
        <v>1963</v>
      </c>
      <c r="M150" s="389" t="s">
        <v>1964</v>
      </c>
    </row>
    <row r="151" spans="1:13" s="83" customFormat="1" ht="44.25" customHeight="1" thickTop="1" thickBot="1" x14ac:dyDescent="0.3">
      <c r="A151" s="307" t="s">
        <v>2543</v>
      </c>
      <c r="B151" s="307" t="s">
        <v>2541</v>
      </c>
      <c r="C151" s="651" t="s">
        <v>364</v>
      </c>
      <c r="D151" s="398">
        <v>2</v>
      </c>
      <c r="E151" s="398">
        <v>30</v>
      </c>
      <c r="F151" s="398">
        <v>3</v>
      </c>
      <c r="G151" s="398">
        <v>848</v>
      </c>
      <c r="H151" s="398">
        <v>449360658</v>
      </c>
      <c r="I151" s="398">
        <v>0</v>
      </c>
      <c r="J151" s="426" t="s">
        <v>949</v>
      </c>
      <c r="K151" s="418" t="s">
        <v>20</v>
      </c>
      <c r="L151" s="418">
        <v>540</v>
      </c>
      <c r="M151" s="418">
        <v>0</v>
      </c>
    </row>
    <row r="152" spans="1:13" s="83" customFormat="1" ht="51.75" customHeight="1" thickTop="1" thickBot="1" x14ac:dyDescent="0.3">
      <c r="A152" s="307" t="s">
        <v>2543</v>
      </c>
      <c r="B152" s="307" t="s">
        <v>2541</v>
      </c>
      <c r="C152" s="653"/>
      <c r="D152" s="398">
        <v>2</v>
      </c>
      <c r="E152" s="398">
        <v>30</v>
      </c>
      <c r="F152" s="398">
        <v>3</v>
      </c>
      <c r="G152" s="398">
        <v>960</v>
      </c>
      <c r="H152" s="398">
        <v>74367030</v>
      </c>
      <c r="I152" s="398">
        <v>0</v>
      </c>
      <c r="J152" s="426" t="s">
        <v>950</v>
      </c>
      <c r="K152" s="418" t="s">
        <v>948</v>
      </c>
      <c r="L152" s="418">
        <v>2</v>
      </c>
      <c r="M152" s="418">
        <v>0</v>
      </c>
    </row>
    <row r="153" spans="1:13" s="83" customFormat="1" ht="39" customHeight="1" thickTop="1" thickBot="1" x14ac:dyDescent="0.3">
      <c r="A153" s="307" t="s">
        <v>2543</v>
      </c>
      <c r="B153" s="307" t="s">
        <v>2541</v>
      </c>
      <c r="C153" s="654" t="s">
        <v>53</v>
      </c>
      <c r="D153" s="398">
        <v>3</v>
      </c>
      <c r="E153" s="398">
        <v>30</v>
      </c>
      <c r="F153" s="398">
        <v>3</v>
      </c>
      <c r="G153" s="398">
        <v>520</v>
      </c>
      <c r="H153" s="398">
        <v>526402846</v>
      </c>
      <c r="I153" s="398">
        <v>85738300</v>
      </c>
      <c r="J153" s="426" t="s">
        <v>951</v>
      </c>
      <c r="K153" s="418" t="s">
        <v>276</v>
      </c>
      <c r="L153" s="418">
        <v>6</v>
      </c>
      <c r="M153" s="418">
        <v>1</v>
      </c>
    </row>
    <row r="154" spans="1:13" s="83" customFormat="1" ht="39" customHeight="1" thickTop="1" thickBot="1" x14ac:dyDescent="0.3">
      <c r="A154" s="307" t="s">
        <v>2543</v>
      </c>
      <c r="B154" s="307" t="s">
        <v>2541</v>
      </c>
      <c r="C154" s="654"/>
      <c r="D154" s="398">
        <v>3</v>
      </c>
      <c r="E154" s="398">
        <v>30</v>
      </c>
      <c r="F154" s="398">
        <v>3</v>
      </c>
      <c r="G154" s="398">
        <v>520</v>
      </c>
      <c r="H154" s="398">
        <v>495628429</v>
      </c>
      <c r="I154" s="398">
        <v>495628429</v>
      </c>
      <c r="J154" s="426" t="s">
        <v>952</v>
      </c>
      <c r="K154" s="418" t="s">
        <v>368</v>
      </c>
      <c r="L154" s="418">
        <v>4</v>
      </c>
      <c r="M154" s="418">
        <v>4</v>
      </c>
    </row>
    <row r="155" spans="1:13" s="83" customFormat="1" ht="40.5" customHeight="1" thickTop="1" thickBot="1" x14ac:dyDescent="0.3">
      <c r="A155" s="307" t="s">
        <v>2543</v>
      </c>
      <c r="B155" s="307" t="s">
        <v>2541</v>
      </c>
      <c r="C155" s="654"/>
      <c r="D155" s="398">
        <v>3</v>
      </c>
      <c r="E155" s="398">
        <v>30</v>
      </c>
      <c r="F155" s="398">
        <v>3</v>
      </c>
      <c r="G155" s="398">
        <v>520</v>
      </c>
      <c r="H155" s="398">
        <v>200000000</v>
      </c>
      <c r="I155" s="398">
        <v>0</v>
      </c>
      <c r="J155" s="426" t="s">
        <v>953</v>
      </c>
      <c r="K155" s="418" t="s">
        <v>368</v>
      </c>
      <c r="L155" s="418">
        <v>3</v>
      </c>
      <c r="M155" s="418">
        <v>0</v>
      </c>
    </row>
    <row r="156" spans="1:13" s="123" customFormat="1" ht="17.25" customHeight="1" thickTop="1" thickBot="1" x14ac:dyDescent="0.3">
      <c r="A156" s="439"/>
      <c r="B156" s="439"/>
      <c r="C156" s="158"/>
      <c r="D156" s="165"/>
      <c r="E156" s="165"/>
      <c r="F156" s="165"/>
      <c r="G156" s="165"/>
      <c r="H156" s="165"/>
      <c r="I156" s="165"/>
      <c r="J156" s="158"/>
      <c r="K156" s="165"/>
      <c r="L156" s="165"/>
      <c r="M156" s="165"/>
    </row>
    <row r="157" spans="1:13" s="63" customFormat="1" ht="30" customHeight="1" thickTop="1" thickBot="1" x14ac:dyDescent="0.3">
      <c r="A157" s="639" t="s">
        <v>0</v>
      </c>
      <c r="B157" s="639" t="s">
        <v>1</v>
      </c>
      <c r="C157" s="639" t="s">
        <v>2569</v>
      </c>
      <c r="D157" s="636" t="s">
        <v>1961</v>
      </c>
      <c r="E157" s="637"/>
      <c r="F157" s="637"/>
      <c r="G157" s="638"/>
      <c r="H157" s="636" t="s">
        <v>3</v>
      </c>
      <c r="I157" s="637"/>
      <c r="J157" s="636" t="s">
        <v>1962</v>
      </c>
      <c r="K157" s="637"/>
      <c r="L157" s="637"/>
      <c r="M157" s="638"/>
    </row>
    <row r="158" spans="1:13" s="63" customFormat="1" ht="34.5" customHeight="1" thickTop="1" thickBot="1" x14ac:dyDescent="0.3">
      <c r="A158" s="640"/>
      <c r="B158" s="640"/>
      <c r="C158" s="640"/>
      <c r="D158" s="209" t="s">
        <v>4</v>
      </c>
      <c r="E158" s="209" t="s">
        <v>5</v>
      </c>
      <c r="F158" s="209" t="s">
        <v>6</v>
      </c>
      <c r="G158" s="209" t="s">
        <v>7</v>
      </c>
      <c r="H158" s="209" t="s">
        <v>2</v>
      </c>
      <c r="I158" s="209" t="s">
        <v>3</v>
      </c>
      <c r="J158" s="209" t="s">
        <v>8</v>
      </c>
      <c r="K158" s="389" t="s">
        <v>9</v>
      </c>
      <c r="L158" s="389" t="s">
        <v>1963</v>
      </c>
      <c r="M158" s="389" t="s">
        <v>1964</v>
      </c>
    </row>
    <row r="159" spans="1:13" s="83" customFormat="1" ht="52.5" customHeight="1" thickTop="1" thickBot="1" x14ac:dyDescent="0.3">
      <c r="A159" s="307" t="s">
        <v>2544</v>
      </c>
      <c r="B159" s="307" t="s">
        <v>2541</v>
      </c>
      <c r="C159" s="399" t="s">
        <v>18</v>
      </c>
      <c r="D159" s="398">
        <v>3</v>
      </c>
      <c r="E159" s="398">
        <v>30</v>
      </c>
      <c r="F159" s="398">
        <v>3</v>
      </c>
      <c r="G159" s="398">
        <v>848</v>
      </c>
      <c r="H159" s="398">
        <v>371491472</v>
      </c>
      <c r="I159" s="398">
        <v>0</v>
      </c>
      <c r="J159" s="426" t="s">
        <v>954</v>
      </c>
      <c r="K159" s="418" t="s">
        <v>20</v>
      </c>
      <c r="L159" s="418">
        <v>709</v>
      </c>
      <c r="M159" s="418">
        <v>0</v>
      </c>
    </row>
    <row r="160" spans="1:13" s="83" customFormat="1" ht="52.5" customHeight="1" thickTop="1" thickBot="1" x14ac:dyDescent="0.3">
      <c r="A160" s="307" t="s">
        <v>2544</v>
      </c>
      <c r="B160" s="307" t="s">
        <v>2541</v>
      </c>
      <c r="C160" s="399" t="s">
        <v>53</v>
      </c>
      <c r="D160" s="398">
        <v>3</v>
      </c>
      <c r="E160" s="398">
        <v>30</v>
      </c>
      <c r="F160" s="398">
        <v>3</v>
      </c>
      <c r="G160" s="398">
        <v>520</v>
      </c>
      <c r="H160" s="398">
        <v>866813433</v>
      </c>
      <c r="I160" s="398">
        <v>543766349</v>
      </c>
      <c r="J160" s="426" t="s">
        <v>955</v>
      </c>
      <c r="K160" s="418" t="s">
        <v>55</v>
      </c>
      <c r="L160" s="418">
        <v>5</v>
      </c>
      <c r="M160" s="418">
        <v>3</v>
      </c>
    </row>
    <row r="161" ht="15.75" thickTop="1" x14ac:dyDescent="0.25"/>
  </sheetData>
  <mergeCells count="145">
    <mergeCell ref="B157:B158"/>
    <mergeCell ref="C157:C158"/>
    <mergeCell ref="D157:G157"/>
    <mergeCell ref="C27:C28"/>
    <mergeCell ref="C76:C79"/>
    <mergeCell ref="C146:C147"/>
    <mergeCell ref="C144:C145"/>
    <mergeCell ref="C142:C143"/>
    <mergeCell ref="C151:C152"/>
    <mergeCell ref="B70:B71"/>
    <mergeCell ref="C70:C71"/>
    <mergeCell ref="D70:G70"/>
    <mergeCell ref="B61:B62"/>
    <mergeCell ref="C61:C62"/>
    <mergeCell ref="D61:G61"/>
    <mergeCell ref="C111:C112"/>
    <mergeCell ref="C138:C141"/>
    <mergeCell ref="C153:C155"/>
    <mergeCell ref="B130:B131"/>
    <mergeCell ref="C130:C131"/>
    <mergeCell ref="D130:G130"/>
    <mergeCell ref="B135:B136"/>
    <mergeCell ref="C135:C136"/>
    <mergeCell ref="D135:G135"/>
    <mergeCell ref="B149:B150"/>
    <mergeCell ref="C149:C150"/>
    <mergeCell ref="D149:G149"/>
    <mergeCell ref="B40:B41"/>
    <mergeCell ref="C40:C41"/>
    <mergeCell ref="D40:G40"/>
    <mergeCell ref="C36:C38"/>
    <mergeCell ref="B46:B47"/>
    <mergeCell ref="C46:C47"/>
    <mergeCell ref="D46:G46"/>
    <mergeCell ref="B122:B123"/>
    <mergeCell ref="C122:C123"/>
    <mergeCell ref="D122:G122"/>
    <mergeCell ref="C81:C82"/>
    <mergeCell ref="D93:G93"/>
    <mergeCell ref="C96:C103"/>
    <mergeCell ref="J46:M46"/>
    <mergeCell ref="J61:M61"/>
    <mergeCell ref="C49:C50"/>
    <mergeCell ref="C52:C59"/>
    <mergeCell ref="B12:B13"/>
    <mergeCell ref="C12:C13"/>
    <mergeCell ref="D12:G12"/>
    <mergeCell ref="B5:B6"/>
    <mergeCell ref="C5:C6"/>
    <mergeCell ref="B33:B34"/>
    <mergeCell ref="C33:C34"/>
    <mergeCell ref="D33:G33"/>
    <mergeCell ref="B22:B23"/>
    <mergeCell ref="C22:C23"/>
    <mergeCell ref="D22:G22"/>
    <mergeCell ref="J5:M5"/>
    <mergeCell ref="H12:I12"/>
    <mergeCell ref="J12:M12"/>
    <mergeCell ref="H22:I22"/>
    <mergeCell ref="J22:M22"/>
    <mergeCell ref="H33:I33"/>
    <mergeCell ref="J33:M33"/>
    <mergeCell ref="H40:I40"/>
    <mergeCell ref="J40:M40"/>
    <mergeCell ref="J122:M122"/>
    <mergeCell ref="J130:M130"/>
    <mergeCell ref="J135:M135"/>
    <mergeCell ref="J149:M149"/>
    <mergeCell ref="J157:M157"/>
    <mergeCell ref="B84:B85"/>
    <mergeCell ref="C84:C85"/>
    <mergeCell ref="D84:G84"/>
    <mergeCell ref="C127:C128"/>
    <mergeCell ref="C119:C120"/>
    <mergeCell ref="C124:C125"/>
    <mergeCell ref="D124:D125"/>
    <mergeCell ref="E124:E125"/>
    <mergeCell ref="F124:F125"/>
    <mergeCell ref="G124:G125"/>
    <mergeCell ref="C116:C117"/>
    <mergeCell ref="D116:D117"/>
    <mergeCell ref="E116:E117"/>
    <mergeCell ref="F116:F117"/>
    <mergeCell ref="G116:G117"/>
    <mergeCell ref="H116:H117"/>
    <mergeCell ref="I116:I117"/>
    <mergeCell ref="H124:H125"/>
    <mergeCell ref="I124:I125"/>
    <mergeCell ref="J106:M106"/>
    <mergeCell ref="J114:M114"/>
    <mergeCell ref="C87:C88"/>
    <mergeCell ref="C108:C109"/>
    <mergeCell ref="D108:D109"/>
    <mergeCell ref="E108:E109"/>
    <mergeCell ref="F108:F109"/>
    <mergeCell ref="G108:G109"/>
    <mergeCell ref="H108:H109"/>
    <mergeCell ref="A135:A136"/>
    <mergeCell ref="A149:A150"/>
    <mergeCell ref="A157:A158"/>
    <mergeCell ref="H5:I5"/>
    <mergeCell ref="H46:I46"/>
    <mergeCell ref="H61:I61"/>
    <mergeCell ref="H70:I70"/>
    <mergeCell ref="H84:I84"/>
    <mergeCell ref="H93:I93"/>
    <mergeCell ref="H106:I106"/>
    <mergeCell ref="H114:I114"/>
    <mergeCell ref="H122:I122"/>
    <mergeCell ref="H130:I130"/>
    <mergeCell ref="H135:I135"/>
    <mergeCell ref="H149:I149"/>
    <mergeCell ref="H157:I157"/>
    <mergeCell ref="C25:C26"/>
    <mergeCell ref="C30:C31"/>
    <mergeCell ref="C43:C44"/>
    <mergeCell ref="A5:A6"/>
    <mergeCell ref="A12:A13"/>
    <mergeCell ref="A22:A23"/>
    <mergeCell ref="A33:A34"/>
    <mergeCell ref="A40:A41"/>
    <mergeCell ref="D5:G5"/>
    <mergeCell ref="C73:C75"/>
    <mergeCell ref="J70:M70"/>
    <mergeCell ref="C64:C67"/>
    <mergeCell ref="A93:A94"/>
    <mergeCell ref="A106:A107"/>
    <mergeCell ref="A114:A115"/>
    <mergeCell ref="A122:A123"/>
    <mergeCell ref="A130:A131"/>
    <mergeCell ref="A46:A47"/>
    <mergeCell ref="A61:A62"/>
    <mergeCell ref="A70:A71"/>
    <mergeCell ref="A84:A85"/>
    <mergeCell ref="I108:I109"/>
    <mergeCell ref="B106:B107"/>
    <mergeCell ref="C106:C107"/>
    <mergeCell ref="D106:G106"/>
    <mergeCell ref="B114:B115"/>
    <mergeCell ref="C114:C115"/>
    <mergeCell ref="D114:G114"/>
    <mergeCell ref="J84:M84"/>
    <mergeCell ref="J93:M93"/>
    <mergeCell ref="B93:B94"/>
    <mergeCell ref="C93:C9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I259"/>
  <sheetViews>
    <sheetView showGridLines="0" zoomScaleNormal="100" workbookViewId="0">
      <selection activeCell="C5" sqref="C5:C6"/>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2.140625" customWidth="1"/>
    <col min="11" max="11" width="12.140625" customWidth="1"/>
    <col min="12" max="13" width="15.140625" customWidth="1"/>
  </cols>
  <sheetData>
    <row r="1" spans="1:16363" s="54" customFormat="1" x14ac:dyDescent="0.25"/>
    <row r="2" spans="1:16363" s="54" customFormat="1" x14ac:dyDescent="0.25"/>
    <row r="3" spans="1:16363" s="54" customFormat="1" x14ac:dyDescent="0.25"/>
    <row r="4" spans="1:16363" s="54" customFormat="1" ht="15.75" thickBot="1" x14ac:dyDescent="0.3">
      <c r="A4" s="251"/>
    </row>
    <row r="5" spans="1:16363" s="168" customFormat="1" ht="30" customHeight="1" thickTop="1" thickBot="1" x14ac:dyDescent="0.3">
      <c r="A5" s="639" t="s">
        <v>0</v>
      </c>
      <c r="B5" s="639" t="s">
        <v>1</v>
      </c>
      <c r="C5" s="639" t="s">
        <v>2569</v>
      </c>
      <c r="D5" s="636" t="s">
        <v>1961</v>
      </c>
      <c r="E5" s="637"/>
      <c r="F5" s="637"/>
      <c r="G5" s="638"/>
      <c r="H5" s="636" t="s">
        <v>3</v>
      </c>
      <c r="I5" s="637"/>
      <c r="J5" s="636" t="s">
        <v>1962</v>
      </c>
      <c r="K5" s="637"/>
      <c r="L5" s="637"/>
      <c r="M5" s="638"/>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152"/>
      <c r="HA5" s="152"/>
      <c r="HB5" s="152"/>
      <c r="HC5" s="152"/>
      <c r="HD5" s="152"/>
      <c r="HE5" s="152"/>
      <c r="HF5" s="152"/>
      <c r="HG5" s="152"/>
      <c r="HH5" s="152"/>
      <c r="HI5" s="152"/>
      <c r="HJ5" s="152"/>
      <c r="HK5" s="152"/>
      <c r="HL5" s="152"/>
      <c r="HM5" s="152"/>
      <c r="HN5" s="152"/>
      <c r="HO5" s="152"/>
      <c r="HP5" s="152"/>
      <c r="HQ5" s="152"/>
      <c r="HR5" s="152"/>
      <c r="HS5" s="152"/>
      <c r="HT5" s="152"/>
      <c r="HU5" s="152"/>
      <c r="HV5" s="152"/>
      <c r="HW5" s="152"/>
      <c r="HX5" s="152"/>
      <c r="HY5" s="152"/>
      <c r="HZ5" s="152"/>
      <c r="IA5" s="152"/>
      <c r="IB5" s="152"/>
      <c r="IC5" s="152"/>
      <c r="ID5" s="152"/>
      <c r="IE5" s="152"/>
      <c r="IF5" s="152"/>
      <c r="IG5" s="152"/>
      <c r="IH5" s="152"/>
      <c r="II5" s="152"/>
      <c r="IJ5" s="152"/>
      <c r="IK5" s="152"/>
      <c r="IL5" s="152"/>
      <c r="IM5" s="152"/>
      <c r="IN5" s="152"/>
      <c r="IO5" s="152"/>
      <c r="IP5" s="152"/>
      <c r="IQ5" s="152"/>
      <c r="IR5" s="152"/>
      <c r="IS5" s="152"/>
      <c r="IT5" s="152"/>
      <c r="IU5" s="152"/>
      <c r="IV5" s="152"/>
      <c r="IW5" s="152"/>
      <c r="IX5" s="152"/>
      <c r="IY5" s="152"/>
      <c r="IZ5" s="152"/>
      <c r="JA5" s="152"/>
      <c r="JB5" s="152"/>
      <c r="JC5" s="152"/>
      <c r="JD5" s="152"/>
      <c r="JE5" s="152"/>
      <c r="JF5" s="152"/>
      <c r="JG5" s="152"/>
      <c r="JH5" s="152"/>
      <c r="JI5" s="152"/>
      <c r="JJ5" s="152"/>
      <c r="JK5" s="152"/>
      <c r="JL5" s="152"/>
      <c r="JM5" s="152"/>
      <c r="JN5" s="152"/>
      <c r="JO5" s="152"/>
      <c r="JP5" s="152"/>
      <c r="JQ5" s="152"/>
      <c r="JR5" s="152"/>
      <c r="JS5" s="152"/>
      <c r="JT5" s="152"/>
      <c r="JU5" s="152"/>
      <c r="JV5" s="152"/>
      <c r="JW5" s="152"/>
      <c r="JX5" s="152"/>
      <c r="JY5" s="152"/>
      <c r="JZ5" s="152"/>
      <c r="KA5" s="152"/>
      <c r="KB5" s="152"/>
      <c r="KC5" s="152"/>
      <c r="KD5" s="152"/>
      <c r="KE5" s="152"/>
      <c r="KF5" s="152"/>
      <c r="KG5" s="152"/>
      <c r="KH5" s="152"/>
      <c r="KI5" s="152"/>
      <c r="KJ5" s="152"/>
      <c r="KK5" s="152"/>
      <c r="KL5" s="152"/>
      <c r="KM5" s="152"/>
      <c r="KN5" s="152"/>
      <c r="KO5" s="152"/>
      <c r="KP5" s="152"/>
      <c r="KQ5" s="152"/>
      <c r="KR5" s="152"/>
      <c r="KS5" s="152"/>
      <c r="KT5" s="152"/>
      <c r="KU5" s="152"/>
      <c r="KV5" s="152"/>
      <c r="KW5" s="152"/>
      <c r="KX5" s="152"/>
      <c r="KY5" s="152"/>
      <c r="KZ5" s="152"/>
      <c r="LA5" s="152"/>
      <c r="LB5" s="152"/>
      <c r="LC5" s="152"/>
      <c r="LD5" s="152"/>
      <c r="LE5" s="152"/>
      <c r="LF5" s="152"/>
      <c r="LG5" s="152"/>
      <c r="LH5" s="152"/>
      <c r="LI5" s="152"/>
      <c r="LJ5" s="152"/>
      <c r="LK5" s="152"/>
      <c r="LL5" s="152"/>
      <c r="LM5" s="152"/>
      <c r="LN5" s="152"/>
      <c r="LO5" s="152"/>
      <c r="LP5" s="152"/>
      <c r="LQ5" s="152"/>
      <c r="LR5" s="152"/>
      <c r="LS5" s="152"/>
      <c r="LT5" s="152"/>
      <c r="LU5" s="152"/>
      <c r="LV5" s="152"/>
      <c r="LW5" s="152"/>
      <c r="LX5" s="152"/>
      <c r="LY5" s="152"/>
      <c r="LZ5" s="152"/>
      <c r="MA5" s="152"/>
      <c r="MB5" s="152"/>
      <c r="MC5" s="152"/>
      <c r="MD5" s="152"/>
      <c r="ME5" s="152"/>
      <c r="MF5" s="152"/>
      <c r="MG5" s="152"/>
      <c r="MH5" s="152"/>
      <c r="MI5" s="152"/>
      <c r="MJ5" s="152"/>
      <c r="MK5" s="152"/>
      <c r="ML5" s="152"/>
      <c r="MM5" s="152"/>
      <c r="MN5" s="152"/>
      <c r="MO5" s="152"/>
      <c r="MP5" s="152"/>
      <c r="MQ5" s="152"/>
      <c r="MR5" s="152"/>
      <c r="MS5" s="152"/>
      <c r="MT5" s="152"/>
      <c r="MU5" s="152"/>
      <c r="MV5" s="152"/>
      <c r="MW5" s="152"/>
      <c r="MX5" s="152"/>
      <c r="MY5" s="152"/>
      <c r="MZ5" s="152"/>
      <c r="NA5" s="152"/>
      <c r="NB5" s="152"/>
      <c r="NC5" s="152"/>
      <c r="ND5" s="152"/>
      <c r="NE5" s="152"/>
      <c r="NF5" s="152"/>
      <c r="NG5" s="152"/>
      <c r="NH5" s="152"/>
      <c r="NI5" s="152"/>
      <c r="NJ5" s="152"/>
      <c r="NK5" s="152"/>
      <c r="NL5" s="152"/>
      <c r="NM5" s="152"/>
      <c r="NN5" s="152"/>
      <c r="NO5" s="152"/>
      <c r="NP5" s="152"/>
      <c r="NQ5" s="152"/>
      <c r="NR5" s="152"/>
      <c r="NS5" s="152"/>
      <c r="NT5" s="152"/>
      <c r="NU5" s="152"/>
      <c r="NV5" s="152"/>
      <c r="NW5" s="152"/>
      <c r="NX5" s="152"/>
      <c r="NY5" s="152"/>
      <c r="NZ5" s="152"/>
      <c r="OA5" s="152"/>
      <c r="OB5" s="152"/>
      <c r="OC5" s="152"/>
      <c r="OD5" s="152"/>
      <c r="OE5" s="152"/>
      <c r="OF5" s="152"/>
      <c r="OG5" s="152"/>
      <c r="OH5" s="152"/>
      <c r="OI5" s="152"/>
      <c r="OJ5" s="152"/>
      <c r="OK5" s="152"/>
      <c r="OL5" s="152"/>
      <c r="OM5" s="152"/>
      <c r="ON5" s="152"/>
      <c r="OO5" s="152"/>
      <c r="OP5" s="152"/>
      <c r="OQ5" s="152"/>
      <c r="OR5" s="152"/>
      <c r="OS5" s="152"/>
      <c r="OT5" s="152"/>
      <c r="OU5" s="152"/>
      <c r="OV5" s="152"/>
      <c r="OW5" s="152"/>
      <c r="OX5" s="152"/>
      <c r="OY5" s="152"/>
      <c r="OZ5" s="152"/>
      <c r="PA5" s="152"/>
      <c r="PB5" s="152"/>
      <c r="PC5" s="152"/>
      <c r="PD5" s="152"/>
      <c r="PE5" s="152"/>
      <c r="PF5" s="152"/>
      <c r="PG5" s="152"/>
      <c r="PH5" s="152"/>
      <c r="PI5" s="152"/>
      <c r="PJ5" s="152"/>
      <c r="PK5" s="152"/>
      <c r="PL5" s="152"/>
      <c r="PM5" s="152"/>
      <c r="PN5" s="152"/>
      <c r="PO5" s="152"/>
      <c r="PP5" s="152"/>
      <c r="PQ5" s="152"/>
      <c r="PR5" s="152"/>
      <c r="PS5" s="152"/>
      <c r="PT5" s="152"/>
      <c r="PU5" s="152"/>
      <c r="PV5" s="152"/>
      <c r="PW5" s="152"/>
      <c r="PX5" s="152"/>
      <c r="PY5" s="152"/>
      <c r="PZ5" s="152"/>
      <c r="QA5" s="152"/>
      <c r="QB5" s="152"/>
      <c r="QC5" s="152"/>
      <c r="QD5" s="152"/>
      <c r="QE5" s="152"/>
      <c r="QF5" s="152"/>
      <c r="QG5" s="152"/>
      <c r="QH5" s="152"/>
      <c r="QI5" s="152"/>
      <c r="QJ5" s="152"/>
      <c r="QK5" s="152"/>
      <c r="QL5" s="152"/>
      <c r="QM5" s="152"/>
      <c r="QN5" s="152"/>
      <c r="QO5" s="152"/>
      <c r="QP5" s="152"/>
      <c r="QQ5" s="152"/>
      <c r="QR5" s="152"/>
      <c r="QS5" s="152"/>
      <c r="QT5" s="152"/>
      <c r="QU5" s="152"/>
      <c r="QV5" s="152"/>
      <c r="QW5" s="152"/>
      <c r="QX5" s="152"/>
      <c r="QY5" s="152"/>
      <c r="QZ5" s="152"/>
      <c r="RA5" s="152"/>
      <c r="RB5" s="152"/>
      <c r="RC5" s="152"/>
      <c r="RD5" s="152"/>
      <c r="RE5" s="152"/>
      <c r="RF5" s="152"/>
      <c r="RG5" s="152"/>
      <c r="RH5" s="152"/>
      <c r="RI5" s="152"/>
      <c r="RJ5" s="152"/>
      <c r="RK5" s="152"/>
      <c r="RL5" s="152"/>
      <c r="RM5" s="152"/>
      <c r="RN5" s="152"/>
      <c r="RO5" s="152"/>
      <c r="RP5" s="152"/>
      <c r="RQ5" s="152"/>
      <c r="RR5" s="152"/>
      <c r="RS5" s="152"/>
      <c r="RT5" s="152"/>
      <c r="RU5" s="152"/>
      <c r="RV5" s="152"/>
      <c r="RW5" s="152"/>
      <c r="RX5" s="152"/>
      <c r="RY5" s="152"/>
      <c r="RZ5" s="152"/>
      <c r="SA5" s="152"/>
      <c r="SB5" s="152"/>
      <c r="SC5" s="152"/>
      <c r="SD5" s="152"/>
      <c r="SE5" s="152"/>
      <c r="SF5" s="152"/>
      <c r="SG5" s="152"/>
      <c r="SH5" s="152"/>
      <c r="SI5" s="152"/>
      <c r="SJ5" s="152"/>
      <c r="SK5" s="152"/>
      <c r="SL5" s="152"/>
      <c r="SM5" s="152"/>
      <c r="SN5" s="152"/>
      <c r="SO5" s="152"/>
      <c r="SP5" s="152"/>
      <c r="SQ5" s="152"/>
      <c r="SR5" s="152"/>
      <c r="SS5" s="152"/>
      <c r="ST5" s="152"/>
      <c r="SU5" s="152"/>
      <c r="SV5" s="152"/>
      <c r="SW5" s="152"/>
      <c r="SX5" s="152"/>
      <c r="SY5" s="152"/>
      <c r="SZ5" s="152"/>
      <c r="TA5" s="152"/>
      <c r="TB5" s="152"/>
      <c r="TC5" s="152"/>
      <c r="TD5" s="152"/>
      <c r="TE5" s="152"/>
      <c r="TF5" s="152"/>
      <c r="TG5" s="152"/>
      <c r="TH5" s="152"/>
      <c r="TI5" s="152"/>
      <c r="TJ5" s="152"/>
      <c r="TK5" s="152"/>
      <c r="TL5" s="152"/>
      <c r="TM5" s="152"/>
      <c r="TN5" s="152"/>
      <c r="TO5" s="152"/>
      <c r="TP5" s="152"/>
      <c r="TQ5" s="152"/>
      <c r="TR5" s="152"/>
      <c r="TS5" s="152"/>
      <c r="TT5" s="152"/>
      <c r="TU5" s="152"/>
      <c r="TV5" s="152"/>
      <c r="TW5" s="152"/>
      <c r="TX5" s="152"/>
      <c r="TY5" s="152"/>
      <c r="TZ5" s="152"/>
      <c r="UA5" s="152"/>
      <c r="UB5" s="152"/>
      <c r="UC5" s="152"/>
      <c r="UD5" s="152"/>
      <c r="UE5" s="152"/>
      <c r="UF5" s="152"/>
      <c r="UG5" s="152"/>
      <c r="UH5" s="152"/>
      <c r="UI5" s="152"/>
      <c r="UJ5" s="152"/>
      <c r="UK5" s="152"/>
      <c r="UL5" s="152"/>
      <c r="UM5" s="152"/>
      <c r="UN5" s="152"/>
      <c r="UO5" s="152"/>
      <c r="UP5" s="152"/>
      <c r="UQ5" s="152"/>
      <c r="UR5" s="152"/>
      <c r="US5" s="152"/>
      <c r="UT5" s="152"/>
      <c r="UU5" s="152"/>
      <c r="UV5" s="152"/>
      <c r="UW5" s="152"/>
      <c r="UX5" s="152"/>
      <c r="UY5" s="152"/>
      <c r="UZ5" s="152"/>
      <c r="VA5" s="152"/>
      <c r="VB5" s="152"/>
      <c r="VC5" s="152"/>
      <c r="VD5" s="152"/>
      <c r="VE5" s="152"/>
      <c r="VF5" s="152"/>
      <c r="VG5" s="152"/>
      <c r="VH5" s="152"/>
      <c r="VI5" s="152"/>
      <c r="VJ5" s="152"/>
      <c r="VK5" s="152"/>
      <c r="VL5" s="152"/>
      <c r="VM5" s="152"/>
      <c r="VN5" s="152"/>
      <c r="VO5" s="152"/>
      <c r="VP5" s="152"/>
      <c r="VQ5" s="152"/>
      <c r="VR5" s="152"/>
      <c r="VS5" s="152"/>
      <c r="VT5" s="152"/>
      <c r="VU5" s="152"/>
      <c r="VV5" s="152"/>
      <c r="VW5" s="152"/>
      <c r="VX5" s="152"/>
      <c r="VY5" s="152"/>
      <c r="VZ5" s="152"/>
      <c r="WA5" s="152"/>
      <c r="WB5" s="152"/>
      <c r="WC5" s="152"/>
      <c r="WD5" s="152"/>
      <c r="WE5" s="152"/>
      <c r="WF5" s="152"/>
      <c r="WG5" s="152"/>
      <c r="WH5" s="152"/>
      <c r="WI5" s="152"/>
      <c r="WJ5" s="152"/>
      <c r="WK5" s="152"/>
      <c r="WL5" s="152"/>
      <c r="WM5" s="152"/>
      <c r="WN5" s="152"/>
      <c r="WO5" s="152"/>
      <c r="WP5" s="152"/>
      <c r="WQ5" s="152"/>
      <c r="WR5" s="152"/>
      <c r="WS5" s="152"/>
      <c r="WT5" s="152"/>
      <c r="WU5" s="152"/>
      <c r="WV5" s="152"/>
      <c r="WW5" s="152"/>
      <c r="WX5" s="152"/>
      <c r="WY5" s="152"/>
      <c r="WZ5" s="152"/>
      <c r="XA5" s="152"/>
      <c r="XB5" s="152"/>
      <c r="XC5" s="152"/>
      <c r="XD5" s="152"/>
      <c r="XE5" s="152"/>
      <c r="XF5" s="152"/>
      <c r="XG5" s="152"/>
      <c r="XH5" s="152"/>
      <c r="XI5" s="152"/>
      <c r="XJ5" s="152"/>
      <c r="XK5" s="152"/>
      <c r="XL5" s="152"/>
      <c r="XM5" s="152"/>
      <c r="XN5" s="152"/>
      <c r="XO5" s="152"/>
      <c r="XP5" s="152"/>
      <c r="XQ5" s="152"/>
      <c r="XR5" s="152"/>
      <c r="XS5" s="152"/>
      <c r="XT5" s="152"/>
      <c r="XU5" s="152"/>
      <c r="XV5" s="152"/>
      <c r="XW5" s="152"/>
      <c r="XX5" s="152"/>
      <c r="XY5" s="152"/>
      <c r="XZ5" s="152"/>
      <c r="YA5" s="152"/>
      <c r="YB5" s="152"/>
      <c r="YC5" s="152"/>
      <c r="YD5" s="152"/>
      <c r="YE5" s="152"/>
      <c r="YF5" s="152"/>
      <c r="YG5" s="152"/>
      <c r="YH5" s="152"/>
      <c r="YI5" s="152"/>
      <c r="YJ5" s="152"/>
      <c r="YK5" s="152"/>
      <c r="YL5" s="152"/>
      <c r="YM5" s="152"/>
      <c r="YN5" s="152"/>
      <c r="YO5" s="152"/>
      <c r="YP5" s="152"/>
      <c r="YQ5" s="152"/>
      <c r="YR5" s="152"/>
      <c r="YS5" s="152"/>
      <c r="YT5" s="152"/>
      <c r="YU5" s="152"/>
      <c r="YV5" s="152"/>
      <c r="YW5" s="152"/>
      <c r="YX5" s="152"/>
      <c r="YY5" s="152"/>
      <c r="YZ5" s="152"/>
      <c r="ZA5" s="152"/>
      <c r="ZB5" s="152"/>
      <c r="ZC5" s="152"/>
      <c r="ZD5" s="152"/>
      <c r="ZE5" s="152"/>
      <c r="ZF5" s="152"/>
      <c r="ZG5" s="152"/>
      <c r="ZH5" s="152"/>
      <c r="ZI5" s="152"/>
      <c r="ZJ5" s="152"/>
      <c r="ZK5" s="152"/>
      <c r="ZL5" s="152"/>
      <c r="ZM5" s="152"/>
      <c r="ZN5" s="152"/>
      <c r="ZO5" s="152"/>
      <c r="ZP5" s="152"/>
      <c r="ZQ5" s="152"/>
      <c r="ZR5" s="152"/>
      <c r="ZS5" s="152"/>
      <c r="ZT5" s="152"/>
      <c r="ZU5" s="152"/>
      <c r="ZV5" s="152"/>
      <c r="ZW5" s="152"/>
      <c r="ZX5" s="152"/>
      <c r="ZY5" s="152"/>
      <c r="ZZ5" s="152"/>
      <c r="AAA5" s="152"/>
      <c r="AAB5" s="152"/>
      <c r="AAC5" s="152"/>
      <c r="AAD5" s="152"/>
      <c r="AAE5" s="152"/>
      <c r="AAF5" s="152"/>
      <c r="AAG5" s="152"/>
      <c r="AAH5" s="152"/>
      <c r="AAI5" s="152"/>
      <c r="AAJ5" s="152"/>
      <c r="AAK5" s="152"/>
      <c r="AAL5" s="152"/>
      <c r="AAM5" s="152"/>
      <c r="AAN5" s="152"/>
      <c r="AAO5" s="152"/>
      <c r="AAP5" s="152"/>
      <c r="AAQ5" s="152"/>
      <c r="AAR5" s="152"/>
      <c r="AAS5" s="152"/>
      <c r="AAT5" s="152"/>
      <c r="AAU5" s="152"/>
      <c r="AAV5" s="152"/>
      <c r="AAW5" s="152"/>
      <c r="AAX5" s="152"/>
      <c r="AAY5" s="152"/>
      <c r="AAZ5" s="152"/>
      <c r="ABA5" s="152"/>
      <c r="ABB5" s="152"/>
      <c r="ABC5" s="152"/>
      <c r="ABD5" s="152"/>
      <c r="ABE5" s="152"/>
      <c r="ABF5" s="152"/>
      <c r="ABG5" s="152"/>
      <c r="ABH5" s="152"/>
      <c r="ABI5" s="152"/>
      <c r="ABJ5" s="152"/>
      <c r="ABK5" s="152"/>
      <c r="ABL5" s="152"/>
      <c r="ABM5" s="152"/>
      <c r="ABN5" s="152"/>
      <c r="ABO5" s="152"/>
      <c r="ABP5" s="152"/>
      <c r="ABQ5" s="152"/>
      <c r="ABR5" s="152"/>
      <c r="ABS5" s="152"/>
      <c r="ABT5" s="152"/>
      <c r="ABU5" s="152"/>
      <c r="ABV5" s="152"/>
      <c r="ABW5" s="152"/>
      <c r="ABX5" s="152"/>
      <c r="ABY5" s="152"/>
      <c r="ABZ5" s="152"/>
      <c r="ACA5" s="152"/>
      <c r="ACB5" s="152"/>
      <c r="ACC5" s="152"/>
      <c r="ACD5" s="152"/>
      <c r="ACE5" s="152"/>
      <c r="ACF5" s="152"/>
      <c r="ACG5" s="152"/>
      <c r="ACH5" s="152"/>
      <c r="ACI5" s="152"/>
      <c r="ACJ5" s="152"/>
      <c r="ACK5" s="152"/>
      <c r="ACL5" s="152"/>
      <c r="ACM5" s="152"/>
      <c r="ACN5" s="152"/>
      <c r="ACO5" s="152"/>
      <c r="ACP5" s="152"/>
      <c r="ACQ5" s="152"/>
      <c r="ACR5" s="152"/>
      <c r="ACS5" s="152"/>
      <c r="ACT5" s="152"/>
      <c r="ACU5" s="152"/>
      <c r="ACV5" s="152"/>
      <c r="ACW5" s="152"/>
      <c r="ACX5" s="152"/>
      <c r="ACY5" s="152"/>
      <c r="ACZ5" s="152"/>
      <c r="ADA5" s="152"/>
      <c r="ADB5" s="152"/>
      <c r="ADC5" s="152"/>
      <c r="ADD5" s="152"/>
      <c r="ADE5" s="152"/>
      <c r="ADF5" s="152"/>
      <c r="ADG5" s="152"/>
      <c r="ADH5" s="152"/>
      <c r="ADI5" s="152"/>
      <c r="ADJ5" s="152"/>
      <c r="ADK5" s="152"/>
      <c r="ADL5" s="152"/>
      <c r="ADM5" s="152"/>
      <c r="ADN5" s="152"/>
      <c r="ADO5" s="152"/>
      <c r="ADP5" s="152"/>
      <c r="ADQ5" s="152"/>
      <c r="ADR5" s="152"/>
      <c r="ADS5" s="152"/>
      <c r="ADT5" s="152"/>
      <c r="ADU5" s="152"/>
      <c r="ADV5" s="152"/>
      <c r="ADW5" s="152"/>
      <c r="ADX5" s="152"/>
      <c r="ADY5" s="152"/>
      <c r="ADZ5" s="152"/>
      <c r="AEA5" s="152"/>
      <c r="AEB5" s="152"/>
      <c r="AEC5" s="152"/>
      <c r="AED5" s="152"/>
      <c r="AEE5" s="152"/>
      <c r="AEF5" s="152"/>
      <c r="AEG5" s="152"/>
      <c r="AEH5" s="152"/>
      <c r="AEI5" s="152"/>
      <c r="AEJ5" s="152"/>
      <c r="AEK5" s="152"/>
      <c r="AEL5" s="152"/>
      <c r="AEM5" s="152"/>
      <c r="AEN5" s="152"/>
      <c r="AEO5" s="152"/>
      <c r="AEP5" s="152"/>
      <c r="AEQ5" s="152"/>
      <c r="AER5" s="152"/>
      <c r="AES5" s="152"/>
      <c r="AET5" s="152"/>
      <c r="AEU5" s="152"/>
      <c r="AEV5" s="152"/>
      <c r="AEW5" s="152"/>
      <c r="AEX5" s="152"/>
      <c r="AEY5" s="152"/>
      <c r="AEZ5" s="152"/>
      <c r="AFA5" s="152"/>
      <c r="AFB5" s="152"/>
      <c r="AFC5" s="152"/>
      <c r="AFD5" s="152"/>
      <c r="AFE5" s="152"/>
      <c r="AFF5" s="152"/>
      <c r="AFG5" s="152"/>
      <c r="AFH5" s="152"/>
      <c r="AFI5" s="152"/>
      <c r="AFJ5" s="152"/>
      <c r="AFK5" s="152"/>
      <c r="AFL5" s="152"/>
      <c r="AFM5" s="152"/>
      <c r="AFN5" s="152"/>
      <c r="AFO5" s="152"/>
      <c r="AFP5" s="152"/>
      <c r="AFQ5" s="152"/>
      <c r="AFR5" s="152"/>
      <c r="AFS5" s="152"/>
      <c r="AFT5" s="152"/>
      <c r="AFU5" s="152"/>
      <c r="AFV5" s="152"/>
      <c r="AFW5" s="152"/>
      <c r="AFX5" s="152"/>
      <c r="AFY5" s="152"/>
      <c r="AFZ5" s="152"/>
      <c r="AGA5" s="152"/>
      <c r="AGB5" s="152"/>
      <c r="AGC5" s="152"/>
      <c r="AGD5" s="152"/>
      <c r="AGE5" s="152"/>
      <c r="AGF5" s="152"/>
      <c r="AGG5" s="152"/>
      <c r="AGH5" s="152"/>
      <c r="AGI5" s="152"/>
      <c r="AGJ5" s="152"/>
      <c r="AGK5" s="152"/>
      <c r="AGL5" s="152"/>
      <c r="AGM5" s="152"/>
      <c r="AGN5" s="152"/>
      <c r="AGO5" s="152"/>
      <c r="AGP5" s="152"/>
      <c r="AGQ5" s="152"/>
      <c r="AGR5" s="152"/>
      <c r="AGS5" s="152"/>
      <c r="AGT5" s="152"/>
      <c r="AGU5" s="152"/>
      <c r="AGV5" s="152"/>
      <c r="AGW5" s="152"/>
      <c r="AGX5" s="152"/>
      <c r="AGY5" s="152"/>
      <c r="AGZ5" s="152"/>
      <c r="AHA5" s="152"/>
      <c r="AHB5" s="152"/>
      <c r="AHC5" s="152"/>
      <c r="AHD5" s="152"/>
      <c r="AHE5" s="152"/>
      <c r="AHF5" s="152"/>
      <c r="AHG5" s="152"/>
      <c r="AHH5" s="152"/>
      <c r="AHI5" s="152"/>
      <c r="AHJ5" s="152"/>
      <c r="AHK5" s="152"/>
      <c r="AHL5" s="152"/>
      <c r="AHM5" s="152"/>
      <c r="AHN5" s="152"/>
      <c r="AHO5" s="152"/>
      <c r="AHP5" s="152"/>
      <c r="AHQ5" s="152"/>
      <c r="AHR5" s="152"/>
      <c r="AHS5" s="152"/>
      <c r="AHT5" s="152"/>
      <c r="AHU5" s="152"/>
      <c r="AHV5" s="152"/>
      <c r="AHW5" s="152"/>
      <c r="AHX5" s="152"/>
      <c r="AHY5" s="152"/>
      <c r="AHZ5" s="152"/>
      <c r="AIA5" s="152"/>
      <c r="AIB5" s="152"/>
      <c r="AIC5" s="152"/>
      <c r="AID5" s="152"/>
      <c r="AIE5" s="152"/>
      <c r="AIF5" s="152"/>
      <c r="AIG5" s="152"/>
      <c r="AIH5" s="152"/>
      <c r="AII5" s="152"/>
      <c r="AIJ5" s="152"/>
      <c r="AIK5" s="152"/>
      <c r="AIL5" s="152"/>
      <c r="AIM5" s="152"/>
      <c r="AIN5" s="152"/>
      <c r="AIO5" s="152"/>
      <c r="AIP5" s="152"/>
      <c r="AIQ5" s="152"/>
      <c r="AIR5" s="152"/>
      <c r="AIS5" s="152"/>
      <c r="AIT5" s="152"/>
      <c r="AIU5" s="152"/>
      <c r="AIV5" s="152"/>
      <c r="AIW5" s="152"/>
      <c r="AIX5" s="152"/>
      <c r="AIY5" s="152"/>
      <c r="AIZ5" s="152"/>
      <c r="AJA5" s="152"/>
      <c r="AJB5" s="152"/>
      <c r="AJC5" s="152"/>
      <c r="AJD5" s="152"/>
      <c r="AJE5" s="152"/>
      <c r="AJF5" s="152"/>
      <c r="AJG5" s="152"/>
      <c r="AJH5" s="152"/>
      <c r="AJI5" s="152"/>
      <c r="AJJ5" s="152"/>
      <c r="AJK5" s="152"/>
      <c r="AJL5" s="152"/>
      <c r="AJM5" s="152"/>
      <c r="AJN5" s="152"/>
      <c r="AJO5" s="152"/>
      <c r="AJP5" s="152"/>
      <c r="AJQ5" s="152"/>
      <c r="AJR5" s="152"/>
      <c r="AJS5" s="152"/>
      <c r="AJT5" s="152"/>
      <c r="AJU5" s="152"/>
      <c r="AJV5" s="152"/>
      <c r="AJW5" s="152"/>
      <c r="AJX5" s="152"/>
      <c r="AJY5" s="152"/>
      <c r="AJZ5" s="152"/>
      <c r="AKA5" s="152"/>
      <c r="AKB5" s="152"/>
      <c r="AKC5" s="152"/>
      <c r="AKD5" s="152"/>
      <c r="AKE5" s="152"/>
      <c r="AKF5" s="152"/>
      <c r="AKG5" s="152"/>
      <c r="AKH5" s="152"/>
      <c r="AKI5" s="152"/>
      <c r="AKJ5" s="152"/>
      <c r="AKK5" s="152"/>
      <c r="AKL5" s="152"/>
      <c r="AKM5" s="152"/>
      <c r="AKN5" s="152"/>
      <c r="AKO5" s="152"/>
      <c r="AKP5" s="152"/>
      <c r="AKQ5" s="152"/>
      <c r="AKR5" s="152"/>
      <c r="AKS5" s="152"/>
      <c r="AKT5" s="152"/>
      <c r="AKU5" s="152"/>
      <c r="AKV5" s="152"/>
      <c r="AKW5" s="152"/>
      <c r="AKX5" s="152"/>
      <c r="AKY5" s="152"/>
      <c r="AKZ5" s="152"/>
      <c r="ALA5" s="152"/>
      <c r="ALB5" s="152"/>
      <c r="ALC5" s="152"/>
      <c r="ALD5" s="152"/>
      <c r="ALE5" s="152"/>
      <c r="ALF5" s="152"/>
      <c r="ALG5" s="152"/>
      <c r="ALH5" s="152"/>
      <c r="ALI5" s="152"/>
      <c r="ALJ5" s="152"/>
      <c r="ALK5" s="152"/>
      <c r="ALL5" s="152"/>
      <c r="ALM5" s="152"/>
      <c r="ALN5" s="152"/>
      <c r="ALO5" s="152"/>
      <c r="ALP5" s="152"/>
      <c r="ALQ5" s="152"/>
      <c r="ALR5" s="152"/>
      <c r="ALS5" s="152"/>
      <c r="ALT5" s="152"/>
      <c r="ALU5" s="152"/>
      <c r="ALV5" s="152"/>
      <c r="ALW5" s="152"/>
      <c r="ALX5" s="152"/>
      <c r="ALY5" s="152"/>
      <c r="ALZ5" s="152"/>
      <c r="AMA5" s="152"/>
      <c r="AMB5" s="152"/>
      <c r="AMC5" s="152"/>
      <c r="AMD5" s="152"/>
      <c r="AME5" s="152"/>
      <c r="AMF5" s="152"/>
      <c r="AMG5" s="152"/>
      <c r="AMH5" s="152"/>
      <c r="AMI5" s="152"/>
      <c r="AMJ5" s="152"/>
      <c r="AMK5" s="152"/>
      <c r="AML5" s="152"/>
      <c r="AMM5" s="152"/>
      <c r="AMN5" s="152"/>
      <c r="AMO5" s="152"/>
      <c r="AMP5" s="152"/>
      <c r="AMQ5" s="152"/>
      <c r="AMR5" s="152"/>
      <c r="AMS5" s="152"/>
      <c r="AMT5" s="152"/>
      <c r="AMU5" s="152"/>
      <c r="AMV5" s="152"/>
      <c r="AMW5" s="152"/>
      <c r="AMX5" s="152"/>
      <c r="AMY5" s="152"/>
      <c r="AMZ5" s="152"/>
      <c r="ANA5" s="152"/>
      <c r="ANB5" s="152"/>
      <c r="ANC5" s="152"/>
      <c r="AND5" s="152"/>
      <c r="ANE5" s="152"/>
      <c r="ANF5" s="152"/>
      <c r="ANG5" s="152"/>
      <c r="ANH5" s="152"/>
      <c r="ANI5" s="152"/>
      <c r="ANJ5" s="152"/>
      <c r="ANK5" s="152"/>
      <c r="ANL5" s="152"/>
      <c r="ANM5" s="152"/>
      <c r="ANN5" s="152"/>
      <c r="ANO5" s="152"/>
      <c r="ANP5" s="152"/>
      <c r="ANQ5" s="152"/>
      <c r="ANR5" s="152"/>
      <c r="ANS5" s="152"/>
      <c r="ANT5" s="152"/>
      <c r="ANU5" s="152"/>
      <c r="ANV5" s="152"/>
      <c r="ANW5" s="152"/>
      <c r="ANX5" s="152"/>
      <c r="ANY5" s="152"/>
      <c r="ANZ5" s="152"/>
      <c r="AOA5" s="152"/>
      <c r="AOB5" s="152"/>
      <c r="AOC5" s="152"/>
      <c r="AOD5" s="152"/>
      <c r="AOE5" s="152"/>
      <c r="AOF5" s="152"/>
      <c r="AOG5" s="152"/>
      <c r="AOH5" s="152"/>
      <c r="AOI5" s="152"/>
      <c r="AOJ5" s="152"/>
      <c r="AOK5" s="152"/>
      <c r="AOL5" s="152"/>
      <c r="AOM5" s="152"/>
      <c r="AON5" s="152"/>
      <c r="AOO5" s="152"/>
      <c r="AOP5" s="152"/>
      <c r="AOQ5" s="152"/>
      <c r="AOR5" s="152"/>
      <c r="AOS5" s="152"/>
      <c r="AOT5" s="152"/>
      <c r="AOU5" s="152"/>
      <c r="AOV5" s="152"/>
      <c r="AOW5" s="152"/>
      <c r="AOX5" s="152"/>
      <c r="AOY5" s="152"/>
      <c r="AOZ5" s="152"/>
      <c r="APA5" s="152"/>
      <c r="APB5" s="152"/>
      <c r="APC5" s="152"/>
      <c r="APD5" s="152"/>
      <c r="APE5" s="152"/>
      <c r="APF5" s="152"/>
      <c r="APG5" s="152"/>
      <c r="APH5" s="152"/>
      <c r="API5" s="152"/>
      <c r="APJ5" s="152"/>
      <c r="APK5" s="152"/>
      <c r="APL5" s="152"/>
      <c r="APM5" s="152"/>
      <c r="APN5" s="152"/>
      <c r="APO5" s="152"/>
      <c r="APP5" s="152"/>
      <c r="APQ5" s="152"/>
      <c r="APR5" s="152"/>
      <c r="APS5" s="152"/>
      <c r="APT5" s="152"/>
      <c r="APU5" s="152"/>
      <c r="APV5" s="152"/>
      <c r="APW5" s="152"/>
      <c r="APX5" s="152"/>
      <c r="APY5" s="152"/>
      <c r="APZ5" s="152"/>
      <c r="AQA5" s="152"/>
      <c r="AQB5" s="152"/>
      <c r="AQC5" s="152"/>
      <c r="AQD5" s="152"/>
      <c r="AQE5" s="152"/>
      <c r="AQF5" s="152"/>
      <c r="AQG5" s="152"/>
      <c r="AQH5" s="152"/>
      <c r="AQI5" s="152"/>
      <c r="AQJ5" s="152"/>
      <c r="AQK5" s="152"/>
      <c r="AQL5" s="152"/>
      <c r="AQM5" s="152"/>
      <c r="AQN5" s="152"/>
      <c r="AQO5" s="152"/>
      <c r="AQP5" s="152"/>
      <c r="AQQ5" s="152"/>
      <c r="AQR5" s="152"/>
      <c r="AQS5" s="152"/>
      <c r="AQT5" s="152"/>
      <c r="AQU5" s="152"/>
      <c r="AQV5" s="152"/>
      <c r="AQW5" s="152"/>
      <c r="AQX5" s="152"/>
      <c r="AQY5" s="152"/>
      <c r="AQZ5" s="152"/>
      <c r="ARA5" s="152"/>
      <c r="ARB5" s="152"/>
      <c r="ARC5" s="152"/>
      <c r="ARD5" s="152"/>
      <c r="ARE5" s="152"/>
      <c r="ARF5" s="152"/>
      <c r="ARG5" s="152"/>
      <c r="ARH5" s="152"/>
      <c r="ARI5" s="152"/>
      <c r="ARJ5" s="152"/>
      <c r="ARK5" s="152"/>
      <c r="ARL5" s="152"/>
      <c r="ARM5" s="152"/>
      <c r="ARN5" s="152"/>
      <c r="ARO5" s="152"/>
      <c r="ARP5" s="152"/>
      <c r="ARQ5" s="152"/>
      <c r="ARR5" s="152"/>
      <c r="ARS5" s="152"/>
      <c r="ART5" s="152"/>
      <c r="ARU5" s="152"/>
      <c r="ARV5" s="152"/>
      <c r="ARW5" s="152"/>
      <c r="ARX5" s="152"/>
      <c r="ARY5" s="152"/>
      <c r="ARZ5" s="152"/>
      <c r="ASA5" s="152"/>
      <c r="ASB5" s="152"/>
      <c r="ASC5" s="152"/>
      <c r="ASD5" s="152"/>
      <c r="ASE5" s="152"/>
      <c r="ASF5" s="152"/>
      <c r="ASG5" s="152"/>
      <c r="ASH5" s="152"/>
      <c r="ASI5" s="152"/>
      <c r="ASJ5" s="152"/>
      <c r="ASK5" s="152"/>
      <c r="ASL5" s="152"/>
      <c r="ASM5" s="152"/>
      <c r="ASN5" s="152"/>
      <c r="ASO5" s="152"/>
      <c r="ASP5" s="152"/>
      <c r="ASQ5" s="152"/>
      <c r="ASR5" s="152"/>
      <c r="ASS5" s="152"/>
      <c r="AST5" s="152"/>
      <c r="ASU5" s="152"/>
      <c r="ASV5" s="152"/>
      <c r="ASW5" s="152"/>
      <c r="ASX5" s="152"/>
      <c r="ASY5" s="152"/>
      <c r="ASZ5" s="152"/>
      <c r="ATA5" s="152"/>
      <c r="ATB5" s="152"/>
      <c r="ATC5" s="152"/>
      <c r="ATD5" s="152"/>
      <c r="ATE5" s="152"/>
      <c r="ATF5" s="152"/>
      <c r="ATG5" s="152"/>
      <c r="ATH5" s="152"/>
      <c r="ATI5" s="152"/>
      <c r="ATJ5" s="152"/>
      <c r="ATK5" s="152"/>
      <c r="ATL5" s="152"/>
      <c r="ATM5" s="152"/>
      <c r="ATN5" s="152"/>
      <c r="ATO5" s="152"/>
      <c r="ATP5" s="152"/>
      <c r="ATQ5" s="152"/>
      <c r="ATR5" s="152"/>
      <c r="ATS5" s="152"/>
      <c r="ATT5" s="152"/>
      <c r="ATU5" s="152"/>
      <c r="ATV5" s="152"/>
      <c r="ATW5" s="152"/>
      <c r="ATX5" s="152"/>
      <c r="ATY5" s="152"/>
      <c r="ATZ5" s="152"/>
      <c r="AUA5" s="152"/>
      <c r="AUB5" s="152"/>
      <c r="AUC5" s="152"/>
      <c r="AUD5" s="152"/>
      <c r="AUE5" s="152"/>
      <c r="AUF5" s="152"/>
      <c r="AUG5" s="152"/>
      <c r="AUH5" s="152"/>
      <c r="AUI5" s="152"/>
      <c r="AUJ5" s="152"/>
      <c r="AUK5" s="152"/>
      <c r="AUL5" s="152"/>
      <c r="AUM5" s="152"/>
      <c r="AUN5" s="152"/>
      <c r="AUO5" s="152"/>
      <c r="AUP5" s="152"/>
      <c r="AUQ5" s="152"/>
      <c r="AUR5" s="152"/>
      <c r="AUS5" s="152"/>
      <c r="AUT5" s="152"/>
      <c r="AUU5" s="152"/>
      <c r="AUV5" s="152"/>
      <c r="AUW5" s="152"/>
      <c r="AUX5" s="152"/>
      <c r="AUY5" s="152"/>
      <c r="AUZ5" s="152"/>
      <c r="AVA5" s="152"/>
      <c r="AVB5" s="152"/>
      <c r="AVC5" s="152"/>
      <c r="AVD5" s="152"/>
      <c r="AVE5" s="152"/>
      <c r="AVF5" s="152"/>
      <c r="AVG5" s="152"/>
      <c r="AVH5" s="152"/>
      <c r="AVI5" s="152"/>
      <c r="AVJ5" s="152"/>
      <c r="AVK5" s="152"/>
      <c r="AVL5" s="152"/>
      <c r="AVM5" s="152"/>
      <c r="AVN5" s="152"/>
      <c r="AVO5" s="152"/>
      <c r="AVP5" s="152"/>
      <c r="AVQ5" s="152"/>
      <c r="AVR5" s="152"/>
      <c r="AVS5" s="152"/>
      <c r="AVT5" s="152"/>
      <c r="AVU5" s="152"/>
      <c r="AVV5" s="152"/>
      <c r="AVW5" s="152"/>
      <c r="AVX5" s="152"/>
      <c r="AVY5" s="152"/>
      <c r="AVZ5" s="152"/>
      <c r="AWA5" s="152"/>
      <c r="AWB5" s="152"/>
      <c r="AWC5" s="152"/>
      <c r="AWD5" s="152"/>
      <c r="AWE5" s="152"/>
      <c r="AWF5" s="152"/>
      <c r="AWG5" s="152"/>
      <c r="AWH5" s="152"/>
      <c r="AWI5" s="152"/>
      <c r="AWJ5" s="152"/>
      <c r="AWK5" s="152"/>
      <c r="AWL5" s="152"/>
      <c r="AWM5" s="152"/>
      <c r="AWN5" s="152"/>
      <c r="AWO5" s="152"/>
      <c r="AWP5" s="152"/>
      <c r="AWQ5" s="152"/>
      <c r="AWR5" s="152"/>
      <c r="AWS5" s="152"/>
      <c r="AWT5" s="152"/>
      <c r="AWU5" s="152"/>
      <c r="AWV5" s="152"/>
      <c r="AWW5" s="152"/>
      <c r="AWX5" s="152"/>
      <c r="AWY5" s="152"/>
      <c r="AWZ5" s="152"/>
      <c r="AXA5" s="152"/>
      <c r="AXB5" s="152"/>
      <c r="AXC5" s="152"/>
      <c r="AXD5" s="152"/>
      <c r="AXE5" s="152"/>
      <c r="AXF5" s="152"/>
      <c r="AXG5" s="152"/>
      <c r="AXH5" s="152"/>
      <c r="AXI5" s="152"/>
      <c r="AXJ5" s="152"/>
      <c r="AXK5" s="152"/>
      <c r="AXL5" s="152"/>
      <c r="AXM5" s="152"/>
      <c r="AXN5" s="152"/>
      <c r="AXO5" s="152"/>
      <c r="AXP5" s="152"/>
      <c r="AXQ5" s="152"/>
      <c r="AXR5" s="152"/>
      <c r="AXS5" s="152"/>
      <c r="AXT5" s="152"/>
      <c r="AXU5" s="152"/>
      <c r="AXV5" s="152"/>
      <c r="AXW5" s="152"/>
      <c r="AXX5" s="152"/>
      <c r="AXY5" s="152"/>
      <c r="AXZ5" s="152"/>
      <c r="AYA5" s="152"/>
      <c r="AYB5" s="152"/>
      <c r="AYC5" s="152"/>
      <c r="AYD5" s="152"/>
      <c r="AYE5" s="152"/>
      <c r="AYF5" s="152"/>
      <c r="AYG5" s="152"/>
      <c r="AYH5" s="152"/>
      <c r="AYI5" s="152"/>
      <c r="AYJ5" s="152"/>
      <c r="AYK5" s="152"/>
      <c r="AYL5" s="152"/>
      <c r="AYM5" s="152"/>
      <c r="AYN5" s="152"/>
      <c r="AYO5" s="152"/>
      <c r="AYP5" s="152"/>
      <c r="AYQ5" s="152"/>
      <c r="AYR5" s="152"/>
      <c r="AYS5" s="152"/>
      <c r="AYT5" s="152"/>
      <c r="AYU5" s="152"/>
      <c r="AYV5" s="152"/>
      <c r="AYW5" s="152"/>
      <c r="AYX5" s="152"/>
      <c r="AYY5" s="152"/>
      <c r="AYZ5" s="152"/>
      <c r="AZA5" s="152"/>
      <c r="AZB5" s="152"/>
      <c r="AZC5" s="152"/>
      <c r="AZD5" s="152"/>
      <c r="AZE5" s="152"/>
      <c r="AZF5" s="152"/>
      <c r="AZG5" s="152"/>
      <c r="AZH5" s="152"/>
      <c r="AZI5" s="152"/>
      <c r="AZJ5" s="152"/>
      <c r="AZK5" s="152"/>
      <c r="AZL5" s="152"/>
      <c r="AZM5" s="152"/>
      <c r="AZN5" s="152"/>
      <c r="AZO5" s="152"/>
      <c r="AZP5" s="152"/>
      <c r="AZQ5" s="152"/>
      <c r="AZR5" s="152"/>
      <c r="AZS5" s="152"/>
      <c r="AZT5" s="152"/>
      <c r="AZU5" s="152"/>
      <c r="AZV5" s="152"/>
      <c r="AZW5" s="152"/>
      <c r="AZX5" s="152"/>
      <c r="AZY5" s="152"/>
      <c r="AZZ5" s="152"/>
      <c r="BAA5" s="152"/>
      <c r="BAB5" s="152"/>
      <c r="BAC5" s="152"/>
      <c r="BAD5" s="152"/>
      <c r="BAE5" s="152"/>
      <c r="BAF5" s="152"/>
      <c r="BAG5" s="152"/>
      <c r="BAH5" s="152"/>
      <c r="BAI5" s="152"/>
      <c r="BAJ5" s="152"/>
      <c r="BAK5" s="152"/>
      <c r="BAL5" s="152"/>
      <c r="BAM5" s="152"/>
      <c r="BAN5" s="152"/>
      <c r="BAO5" s="152"/>
      <c r="BAP5" s="152"/>
      <c r="BAQ5" s="152"/>
      <c r="BAR5" s="152"/>
      <c r="BAS5" s="152"/>
      <c r="BAT5" s="152"/>
      <c r="BAU5" s="152"/>
      <c r="BAV5" s="152"/>
      <c r="BAW5" s="152"/>
      <c r="BAX5" s="152"/>
      <c r="BAY5" s="152"/>
      <c r="BAZ5" s="152"/>
      <c r="BBA5" s="152"/>
      <c r="BBB5" s="152"/>
      <c r="BBC5" s="152"/>
      <c r="BBD5" s="152"/>
      <c r="BBE5" s="152"/>
      <c r="BBF5" s="152"/>
      <c r="BBG5" s="152"/>
      <c r="BBH5" s="152"/>
      <c r="BBI5" s="152"/>
      <c r="BBJ5" s="152"/>
      <c r="BBK5" s="152"/>
      <c r="BBL5" s="152"/>
      <c r="BBM5" s="152"/>
      <c r="BBN5" s="152"/>
      <c r="BBO5" s="152"/>
      <c r="BBP5" s="152"/>
      <c r="BBQ5" s="152"/>
      <c r="BBR5" s="152"/>
      <c r="BBS5" s="152"/>
      <c r="BBT5" s="152"/>
      <c r="BBU5" s="152"/>
      <c r="BBV5" s="152"/>
      <c r="BBW5" s="152"/>
      <c r="BBX5" s="152"/>
      <c r="BBY5" s="152"/>
      <c r="BBZ5" s="152"/>
      <c r="BCA5" s="152"/>
      <c r="BCB5" s="152"/>
      <c r="BCC5" s="152"/>
      <c r="BCD5" s="152"/>
      <c r="BCE5" s="152"/>
      <c r="BCF5" s="152"/>
      <c r="BCG5" s="152"/>
      <c r="BCH5" s="152"/>
      <c r="BCI5" s="152"/>
      <c r="BCJ5" s="152"/>
      <c r="BCK5" s="152"/>
      <c r="BCL5" s="152"/>
      <c r="BCM5" s="152"/>
      <c r="BCN5" s="152"/>
      <c r="BCO5" s="152"/>
      <c r="BCP5" s="152"/>
      <c r="BCQ5" s="152"/>
      <c r="BCR5" s="152"/>
      <c r="BCS5" s="152"/>
      <c r="BCT5" s="152"/>
      <c r="BCU5" s="152"/>
      <c r="BCV5" s="152"/>
      <c r="BCW5" s="152"/>
      <c r="BCX5" s="152"/>
      <c r="BCY5" s="152"/>
      <c r="BCZ5" s="152"/>
      <c r="BDA5" s="152"/>
      <c r="BDB5" s="152"/>
      <c r="BDC5" s="152"/>
      <c r="BDD5" s="152"/>
      <c r="BDE5" s="152"/>
      <c r="BDF5" s="152"/>
      <c r="BDG5" s="152"/>
      <c r="BDH5" s="152"/>
      <c r="BDI5" s="152"/>
      <c r="BDJ5" s="152"/>
      <c r="BDK5" s="152"/>
      <c r="BDL5" s="152"/>
      <c r="BDM5" s="152"/>
      <c r="BDN5" s="152"/>
      <c r="BDO5" s="152"/>
      <c r="BDP5" s="152"/>
      <c r="BDQ5" s="152"/>
      <c r="BDR5" s="152"/>
      <c r="BDS5" s="152"/>
      <c r="BDT5" s="152"/>
      <c r="BDU5" s="152"/>
      <c r="BDV5" s="152"/>
      <c r="BDW5" s="152"/>
      <c r="BDX5" s="152"/>
      <c r="BDY5" s="152"/>
      <c r="BDZ5" s="152"/>
      <c r="BEA5" s="152"/>
      <c r="BEB5" s="152"/>
      <c r="BEC5" s="152"/>
      <c r="BED5" s="152"/>
      <c r="BEE5" s="152"/>
      <c r="BEF5" s="152"/>
      <c r="BEG5" s="152"/>
      <c r="BEH5" s="152"/>
      <c r="BEI5" s="152"/>
      <c r="BEJ5" s="152"/>
      <c r="BEK5" s="152"/>
      <c r="BEL5" s="152"/>
      <c r="BEM5" s="152"/>
      <c r="BEN5" s="152"/>
      <c r="BEO5" s="152"/>
      <c r="BEP5" s="152"/>
      <c r="BEQ5" s="152"/>
      <c r="BER5" s="152"/>
      <c r="BES5" s="152"/>
      <c r="BET5" s="152"/>
      <c r="BEU5" s="152"/>
      <c r="BEV5" s="152"/>
      <c r="BEW5" s="152"/>
      <c r="BEX5" s="152"/>
      <c r="BEY5" s="152"/>
      <c r="BEZ5" s="152"/>
      <c r="BFA5" s="152"/>
      <c r="BFB5" s="152"/>
      <c r="BFC5" s="152"/>
      <c r="BFD5" s="152"/>
      <c r="BFE5" s="152"/>
      <c r="BFF5" s="152"/>
      <c r="BFG5" s="152"/>
      <c r="BFH5" s="152"/>
      <c r="BFI5" s="152"/>
      <c r="BFJ5" s="152"/>
      <c r="BFK5" s="152"/>
      <c r="BFL5" s="152"/>
      <c r="BFM5" s="152"/>
      <c r="BFN5" s="152"/>
      <c r="BFO5" s="152"/>
      <c r="BFP5" s="152"/>
      <c r="BFQ5" s="152"/>
      <c r="BFR5" s="152"/>
      <c r="BFS5" s="152"/>
      <c r="BFT5" s="152"/>
      <c r="BFU5" s="152"/>
      <c r="BFV5" s="152"/>
      <c r="BFW5" s="152"/>
      <c r="BFX5" s="152"/>
      <c r="BFY5" s="152"/>
      <c r="BFZ5" s="152"/>
      <c r="BGA5" s="152"/>
      <c r="BGB5" s="152"/>
      <c r="BGC5" s="152"/>
      <c r="BGD5" s="152"/>
      <c r="BGE5" s="152"/>
      <c r="BGF5" s="152"/>
      <c r="BGG5" s="152"/>
      <c r="BGH5" s="152"/>
      <c r="BGI5" s="152"/>
      <c r="BGJ5" s="152"/>
      <c r="BGK5" s="152"/>
      <c r="BGL5" s="152"/>
      <c r="BGM5" s="152"/>
      <c r="BGN5" s="152"/>
      <c r="BGO5" s="152"/>
      <c r="BGP5" s="152"/>
      <c r="BGQ5" s="152"/>
      <c r="BGR5" s="152"/>
      <c r="BGS5" s="152"/>
      <c r="BGT5" s="152"/>
      <c r="BGU5" s="152"/>
      <c r="BGV5" s="152"/>
      <c r="BGW5" s="152"/>
      <c r="BGX5" s="152"/>
      <c r="BGY5" s="152"/>
      <c r="BGZ5" s="152"/>
      <c r="BHA5" s="152"/>
      <c r="BHB5" s="152"/>
      <c r="BHC5" s="152"/>
      <c r="BHD5" s="152"/>
      <c r="BHE5" s="152"/>
      <c r="BHF5" s="152"/>
      <c r="BHG5" s="152"/>
      <c r="BHH5" s="152"/>
      <c r="BHI5" s="152"/>
      <c r="BHJ5" s="152"/>
      <c r="BHK5" s="152"/>
      <c r="BHL5" s="152"/>
      <c r="BHM5" s="152"/>
      <c r="BHN5" s="152"/>
      <c r="BHO5" s="152"/>
      <c r="BHP5" s="152"/>
      <c r="BHQ5" s="152"/>
      <c r="BHR5" s="152"/>
      <c r="BHS5" s="152"/>
      <c r="BHT5" s="152"/>
      <c r="BHU5" s="152"/>
      <c r="BHV5" s="152"/>
      <c r="BHW5" s="152"/>
      <c r="BHX5" s="152"/>
      <c r="BHY5" s="152"/>
      <c r="BHZ5" s="152"/>
      <c r="BIA5" s="152"/>
      <c r="BIB5" s="152"/>
      <c r="BIC5" s="152"/>
      <c r="BID5" s="152"/>
      <c r="BIE5" s="152"/>
      <c r="BIF5" s="152"/>
      <c r="BIG5" s="152"/>
      <c r="BIH5" s="152"/>
      <c r="BII5" s="152"/>
      <c r="BIJ5" s="152"/>
      <c r="BIK5" s="152"/>
      <c r="BIL5" s="152"/>
      <c r="BIM5" s="152"/>
      <c r="BIN5" s="152"/>
      <c r="BIO5" s="152"/>
      <c r="BIP5" s="152"/>
      <c r="BIQ5" s="152"/>
      <c r="BIR5" s="152"/>
      <c r="BIS5" s="152"/>
      <c r="BIT5" s="152"/>
      <c r="BIU5" s="152"/>
      <c r="BIV5" s="152"/>
      <c r="BIW5" s="152"/>
      <c r="BIX5" s="152"/>
      <c r="BIY5" s="152"/>
      <c r="BIZ5" s="152"/>
      <c r="BJA5" s="152"/>
      <c r="BJB5" s="152"/>
      <c r="BJC5" s="152"/>
      <c r="BJD5" s="152"/>
      <c r="BJE5" s="152"/>
      <c r="BJF5" s="152"/>
      <c r="BJG5" s="152"/>
      <c r="BJH5" s="152"/>
      <c r="BJI5" s="152"/>
      <c r="BJJ5" s="152"/>
      <c r="BJK5" s="152"/>
      <c r="BJL5" s="152"/>
      <c r="BJM5" s="152"/>
      <c r="BJN5" s="152"/>
      <c r="BJO5" s="152"/>
      <c r="BJP5" s="152"/>
      <c r="BJQ5" s="152"/>
      <c r="BJR5" s="152"/>
      <c r="BJS5" s="152"/>
      <c r="BJT5" s="152"/>
      <c r="BJU5" s="152"/>
      <c r="BJV5" s="152"/>
      <c r="BJW5" s="152"/>
      <c r="BJX5" s="152"/>
      <c r="BJY5" s="152"/>
      <c r="BJZ5" s="152"/>
      <c r="BKA5" s="152"/>
      <c r="BKB5" s="152"/>
      <c r="BKC5" s="152"/>
      <c r="BKD5" s="152"/>
      <c r="BKE5" s="152"/>
      <c r="BKF5" s="152"/>
      <c r="BKG5" s="152"/>
      <c r="BKH5" s="152"/>
      <c r="BKI5" s="152"/>
      <c r="BKJ5" s="152"/>
      <c r="BKK5" s="152"/>
      <c r="BKL5" s="152"/>
      <c r="BKM5" s="152"/>
      <c r="BKN5" s="152"/>
      <c r="BKO5" s="152"/>
      <c r="BKP5" s="152"/>
      <c r="BKQ5" s="152"/>
      <c r="BKR5" s="152"/>
      <c r="BKS5" s="152"/>
      <c r="BKT5" s="152"/>
      <c r="BKU5" s="152"/>
      <c r="BKV5" s="152"/>
      <c r="BKW5" s="152"/>
      <c r="BKX5" s="152"/>
      <c r="BKY5" s="152"/>
      <c r="BKZ5" s="152"/>
      <c r="BLA5" s="152"/>
      <c r="BLB5" s="152"/>
      <c r="BLC5" s="152"/>
      <c r="BLD5" s="152"/>
      <c r="BLE5" s="152"/>
      <c r="BLF5" s="152"/>
      <c r="BLG5" s="152"/>
      <c r="BLH5" s="152"/>
      <c r="BLI5" s="152"/>
      <c r="BLJ5" s="152"/>
      <c r="BLK5" s="152"/>
      <c r="BLL5" s="152"/>
      <c r="BLM5" s="152"/>
      <c r="BLN5" s="152"/>
      <c r="BLO5" s="152"/>
      <c r="BLP5" s="152"/>
      <c r="BLQ5" s="152"/>
      <c r="BLR5" s="152"/>
      <c r="BLS5" s="152"/>
      <c r="BLT5" s="152"/>
      <c r="BLU5" s="152"/>
      <c r="BLV5" s="152"/>
      <c r="BLW5" s="152"/>
      <c r="BLX5" s="152"/>
      <c r="BLY5" s="152"/>
      <c r="BLZ5" s="152"/>
      <c r="BMA5" s="152"/>
      <c r="BMB5" s="152"/>
      <c r="BMC5" s="152"/>
      <c r="BMD5" s="152"/>
      <c r="BME5" s="152"/>
      <c r="BMF5" s="152"/>
      <c r="BMG5" s="152"/>
      <c r="BMH5" s="152"/>
      <c r="BMI5" s="152"/>
      <c r="BMJ5" s="152"/>
      <c r="BMK5" s="152"/>
      <c r="BML5" s="152"/>
      <c r="BMM5" s="152"/>
      <c r="BMN5" s="152"/>
      <c r="BMO5" s="152"/>
      <c r="BMP5" s="152"/>
      <c r="BMQ5" s="152"/>
      <c r="BMR5" s="152"/>
      <c r="BMS5" s="152"/>
      <c r="BMT5" s="152"/>
      <c r="BMU5" s="152"/>
      <c r="BMV5" s="152"/>
      <c r="BMW5" s="152"/>
      <c r="BMX5" s="152"/>
      <c r="BMY5" s="152"/>
      <c r="BMZ5" s="152"/>
      <c r="BNA5" s="152"/>
      <c r="BNB5" s="152"/>
      <c r="BNC5" s="152"/>
      <c r="BND5" s="152"/>
      <c r="BNE5" s="152"/>
      <c r="BNF5" s="152"/>
      <c r="BNG5" s="152"/>
      <c r="BNH5" s="152"/>
      <c r="BNI5" s="152"/>
      <c r="BNJ5" s="152"/>
      <c r="BNK5" s="152"/>
      <c r="BNL5" s="152"/>
      <c r="BNM5" s="152"/>
      <c r="BNN5" s="152"/>
      <c r="BNO5" s="152"/>
      <c r="BNP5" s="152"/>
      <c r="BNQ5" s="152"/>
      <c r="BNR5" s="152"/>
      <c r="BNS5" s="152"/>
      <c r="BNT5" s="152"/>
      <c r="BNU5" s="152"/>
      <c r="BNV5" s="152"/>
      <c r="BNW5" s="152"/>
      <c r="BNX5" s="152"/>
      <c r="BNY5" s="152"/>
      <c r="BNZ5" s="152"/>
      <c r="BOA5" s="152"/>
      <c r="BOB5" s="152"/>
      <c r="BOC5" s="152"/>
      <c r="BOD5" s="152"/>
      <c r="BOE5" s="152"/>
      <c r="BOF5" s="152"/>
      <c r="BOG5" s="152"/>
      <c r="BOH5" s="152"/>
      <c r="BOI5" s="152"/>
      <c r="BOJ5" s="152"/>
      <c r="BOK5" s="152"/>
      <c r="BOL5" s="152"/>
      <c r="BOM5" s="152"/>
      <c r="BON5" s="152"/>
      <c r="BOO5" s="152"/>
      <c r="BOP5" s="152"/>
      <c r="BOQ5" s="152"/>
      <c r="BOR5" s="152"/>
      <c r="BOS5" s="152"/>
      <c r="BOT5" s="152"/>
      <c r="BOU5" s="152"/>
      <c r="BOV5" s="152"/>
      <c r="BOW5" s="152"/>
      <c r="BOX5" s="152"/>
      <c r="BOY5" s="152"/>
      <c r="BOZ5" s="152"/>
      <c r="BPA5" s="152"/>
      <c r="BPB5" s="152"/>
      <c r="BPC5" s="152"/>
      <c r="BPD5" s="152"/>
      <c r="BPE5" s="152"/>
      <c r="BPF5" s="152"/>
      <c r="BPG5" s="152"/>
      <c r="BPH5" s="152"/>
      <c r="BPI5" s="152"/>
      <c r="BPJ5" s="152"/>
      <c r="BPK5" s="152"/>
      <c r="BPL5" s="152"/>
      <c r="BPM5" s="152"/>
      <c r="BPN5" s="152"/>
      <c r="BPO5" s="152"/>
      <c r="BPP5" s="152"/>
      <c r="BPQ5" s="152"/>
      <c r="BPR5" s="152"/>
      <c r="BPS5" s="152"/>
      <c r="BPT5" s="152"/>
      <c r="BPU5" s="152"/>
      <c r="BPV5" s="152"/>
      <c r="BPW5" s="152"/>
      <c r="BPX5" s="152"/>
      <c r="BPY5" s="152"/>
      <c r="BPZ5" s="152"/>
      <c r="BQA5" s="152"/>
      <c r="BQB5" s="152"/>
      <c r="BQC5" s="152"/>
      <c r="BQD5" s="152"/>
      <c r="BQE5" s="152"/>
      <c r="BQF5" s="152"/>
      <c r="BQG5" s="152"/>
      <c r="BQH5" s="152"/>
      <c r="BQI5" s="152"/>
      <c r="BQJ5" s="152"/>
      <c r="BQK5" s="152"/>
      <c r="BQL5" s="152"/>
      <c r="BQM5" s="152"/>
      <c r="BQN5" s="152"/>
      <c r="BQO5" s="152"/>
      <c r="BQP5" s="152"/>
      <c r="BQQ5" s="152"/>
      <c r="BQR5" s="152"/>
      <c r="BQS5" s="152"/>
      <c r="BQT5" s="152"/>
      <c r="BQU5" s="152"/>
      <c r="BQV5" s="152"/>
      <c r="BQW5" s="152"/>
      <c r="BQX5" s="152"/>
      <c r="BQY5" s="152"/>
      <c r="BQZ5" s="152"/>
      <c r="BRA5" s="152"/>
      <c r="BRB5" s="152"/>
      <c r="BRC5" s="152"/>
      <c r="BRD5" s="152"/>
      <c r="BRE5" s="152"/>
      <c r="BRF5" s="152"/>
      <c r="BRG5" s="152"/>
      <c r="BRH5" s="152"/>
      <c r="BRI5" s="152"/>
      <c r="BRJ5" s="152"/>
      <c r="BRK5" s="152"/>
      <c r="BRL5" s="152"/>
      <c r="BRM5" s="152"/>
      <c r="BRN5" s="152"/>
      <c r="BRO5" s="152"/>
      <c r="BRP5" s="152"/>
      <c r="BRQ5" s="152"/>
      <c r="BRR5" s="152"/>
      <c r="BRS5" s="152"/>
      <c r="BRT5" s="152"/>
      <c r="BRU5" s="152"/>
      <c r="BRV5" s="152"/>
      <c r="BRW5" s="152"/>
      <c r="BRX5" s="152"/>
      <c r="BRY5" s="152"/>
      <c r="BRZ5" s="152"/>
      <c r="BSA5" s="152"/>
      <c r="BSB5" s="152"/>
      <c r="BSC5" s="152"/>
      <c r="BSD5" s="152"/>
      <c r="BSE5" s="152"/>
      <c r="BSF5" s="152"/>
      <c r="BSG5" s="152"/>
      <c r="BSH5" s="152"/>
      <c r="BSI5" s="152"/>
      <c r="BSJ5" s="152"/>
      <c r="BSK5" s="152"/>
      <c r="BSL5" s="152"/>
      <c r="BSM5" s="152"/>
      <c r="BSN5" s="152"/>
      <c r="BSO5" s="152"/>
      <c r="BSP5" s="152"/>
      <c r="BSQ5" s="152"/>
      <c r="BSR5" s="152"/>
      <c r="BSS5" s="152"/>
      <c r="BST5" s="152"/>
      <c r="BSU5" s="152"/>
      <c r="BSV5" s="152"/>
      <c r="BSW5" s="152"/>
      <c r="BSX5" s="152"/>
      <c r="BSY5" s="152"/>
      <c r="BSZ5" s="152"/>
      <c r="BTA5" s="152"/>
      <c r="BTB5" s="152"/>
      <c r="BTC5" s="152"/>
      <c r="BTD5" s="152"/>
      <c r="BTE5" s="152"/>
      <c r="BTF5" s="152"/>
      <c r="BTG5" s="152"/>
      <c r="BTH5" s="152"/>
      <c r="BTI5" s="152"/>
      <c r="BTJ5" s="152"/>
      <c r="BTK5" s="152"/>
      <c r="BTL5" s="152"/>
      <c r="BTM5" s="152"/>
      <c r="BTN5" s="152"/>
      <c r="BTO5" s="152"/>
      <c r="BTP5" s="152"/>
      <c r="BTQ5" s="152"/>
      <c r="BTR5" s="152"/>
      <c r="BTS5" s="152"/>
      <c r="BTT5" s="152"/>
      <c r="BTU5" s="152"/>
      <c r="BTV5" s="152"/>
      <c r="BTW5" s="152"/>
      <c r="BTX5" s="152"/>
      <c r="BTY5" s="152"/>
      <c r="BTZ5" s="152"/>
      <c r="BUA5" s="152"/>
      <c r="BUB5" s="152"/>
      <c r="BUC5" s="152"/>
      <c r="BUD5" s="152"/>
      <c r="BUE5" s="152"/>
      <c r="BUF5" s="152"/>
      <c r="BUG5" s="152"/>
      <c r="BUH5" s="152"/>
      <c r="BUI5" s="152"/>
      <c r="BUJ5" s="152"/>
      <c r="BUK5" s="152"/>
      <c r="BUL5" s="152"/>
      <c r="BUM5" s="152"/>
      <c r="BUN5" s="152"/>
      <c r="BUO5" s="152"/>
      <c r="BUP5" s="152"/>
      <c r="BUQ5" s="152"/>
      <c r="BUR5" s="152"/>
      <c r="BUS5" s="152"/>
      <c r="BUT5" s="152"/>
      <c r="BUU5" s="152"/>
      <c r="BUV5" s="152"/>
      <c r="BUW5" s="152"/>
      <c r="BUX5" s="152"/>
      <c r="BUY5" s="152"/>
      <c r="BUZ5" s="152"/>
      <c r="BVA5" s="152"/>
      <c r="BVB5" s="152"/>
      <c r="BVC5" s="152"/>
      <c r="BVD5" s="152"/>
      <c r="BVE5" s="152"/>
      <c r="BVF5" s="152"/>
      <c r="BVG5" s="152"/>
      <c r="BVH5" s="152"/>
      <c r="BVI5" s="152"/>
      <c r="BVJ5" s="152"/>
      <c r="BVK5" s="152"/>
      <c r="BVL5" s="152"/>
      <c r="BVM5" s="152"/>
      <c r="BVN5" s="152"/>
      <c r="BVO5" s="152"/>
      <c r="BVP5" s="152"/>
      <c r="BVQ5" s="152"/>
      <c r="BVR5" s="152"/>
      <c r="BVS5" s="152"/>
      <c r="BVT5" s="152"/>
      <c r="BVU5" s="152"/>
      <c r="BVV5" s="152"/>
      <c r="BVW5" s="152"/>
      <c r="BVX5" s="152"/>
      <c r="BVY5" s="152"/>
      <c r="BVZ5" s="152"/>
      <c r="BWA5" s="152"/>
      <c r="BWB5" s="152"/>
      <c r="BWC5" s="152"/>
      <c r="BWD5" s="152"/>
      <c r="BWE5" s="152"/>
      <c r="BWF5" s="152"/>
      <c r="BWG5" s="152"/>
      <c r="BWH5" s="152"/>
      <c r="BWI5" s="152"/>
      <c r="BWJ5" s="152"/>
      <c r="BWK5" s="152"/>
      <c r="BWL5" s="152"/>
      <c r="BWM5" s="152"/>
      <c r="BWN5" s="152"/>
      <c r="BWO5" s="152"/>
      <c r="BWP5" s="152"/>
      <c r="BWQ5" s="152"/>
      <c r="BWR5" s="152"/>
      <c r="BWS5" s="152"/>
      <c r="BWT5" s="152"/>
      <c r="BWU5" s="152"/>
      <c r="BWV5" s="152"/>
      <c r="BWW5" s="152"/>
      <c r="BWX5" s="152"/>
      <c r="BWY5" s="152"/>
      <c r="BWZ5" s="152"/>
      <c r="BXA5" s="152"/>
      <c r="BXB5" s="152"/>
      <c r="BXC5" s="152"/>
      <c r="BXD5" s="152"/>
      <c r="BXE5" s="152"/>
      <c r="BXF5" s="152"/>
      <c r="BXG5" s="152"/>
      <c r="BXH5" s="152"/>
      <c r="BXI5" s="152"/>
      <c r="BXJ5" s="152"/>
      <c r="BXK5" s="152"/>
      <c r="BXL5" s="152"/>
      <c r="BXM5" s="152"/>
      <c r="BXN5" s="152"/>
      <c r="BXO5" s="152"/>
      <c r="BXP5" s="152"/>
      <c r="BXQ5" s="152"/>
      <c r="BXR5" s="152"/>
      <c r="BXS5" s="152"/>
      <c r="BXT5" s="152"/>
      <c r="BXU5" s="152"/>
      <c r="BXV5" s="152"/>
      <c r="BXW5" s="152"/>
      <c r="BXX5" s="152"/>
      <c r="BXY5" s="152"/>
      <c r="BXZ5" s="152"/>
      <c r="BYA5" s="152"/>
      <c r="BYB5" s="152"/>
      <c r="BYC5" s="152"/>
      <c r="BYD5" s="152"/>
      <c r="BYE5" s="152"/>
      <c r="BYF5" s="152"/>
      <c r="BYG5" s="152"/>
      <c r="BYH5" s="152"/>
      <c r="BYI5" s="152"/>
      <c r="BYJ5" s="152"/>
      <c r="BYK5" s="152"/>
      <c r="BYL5" s="152"/>
      <c r="BYM5" s="152"/>
      <c r="BYN5" s="152"/>
      <c r="BYO5" s="152"/>
      <c r="BYP5" s="152"/>
      <c r="BYQ5" s="152"/>
      <c r="BYR5" s="152"/>
      <c r="BYS5" s="152"/>
      <c r="BYT5" s="152"/>
      <c r="BYU5" s="152"/>
      <c r="BYV5" s="152"/>
      <c r="BYW5" s="152"/>
      <c r="BYX5" s="152"/>
      <c r="BYY5" s="152"/>
      <c r="BYZ5" s="152"/>
      <c r="BZA5" s="152"/>
      <c r="BZB5" s="152"/>
      <c r="BZC5" s="152"/>
      <c r="BZD5" s="152"/>
      <c r="BZE5" s="152"/>
      <c r="BZF5" s="152"/>
      <c r="BZG5" s="152"/>
      <c r="BZH5" s="152"/>
      <c r="BZI5" s="152"/>
      <c r="BZJ5" s="152"/>
      <c r="BZK5" s="152"/>
      <c r="BZL5" s="152"/>
      <c r="BZM5" s="152"/>
      <c r="BZN5" s="152"/>
      <c r="BZO5" s="152"/>
      <c r="BZP5" s="152"/>
      <c r="BZQ5" s="152"/>
      <c r="BZR5" s="152"/>
      <c r="BZS5" s="152"/>
      <c r="BZT5" s="152"/>
      <c r="BZU5" s="152"/>
      <c r="BZV5" s="152"/>
      <c r="BZW5" s="152"/>
      <c r="BZX5" s="152"/>
      <c r="BZY5" s="152"/>
      <c r="BZZ5" s="152"/>
      <c r="CAA5" s="152"/>
      <c r="CAB5" s="152"/>
      <c r="CAC5" s="152"/>
      <c r="CAD5" s="152"/>
      <c r="CAE5" s="152"/>
      <c r="CAF5" s="152"/>
      <c r="CAG5" s="152"/>
      <c r="CAH5" s="152"/>
      <c r="CAI5" s="152"/>
      <c r="CAJ5" s="152"/>
      <c r="CAK5" s="152"/>
      <c r="CAL5" s="152"/>
      <c r="CAM5" s="152"/>
      <c r="CAN5" s="152"/>
      <c r="CAO5" s="152"/>
      <c r="CAP5" s="152"/>
      <c r="CAQ5" s="152"/>
      <c r="CAR5" s="152"/>
      <c r="CAS5" s="152"/>
      <c r="CAT5" s="152"/>
      <c r="CAU5" s="152"/>
      <c r="CAV5" s="152"/>
      <c r="CAW5" s="152"/>
      <c r="CAX5" s="152"/>
      <c r="CAY5" s="152"/>
      <c r="CAZ5" s="152"/>
      <c r="CBA5" s="152"/>
      <c r="CBB5" s="152"/>
      <c r="CBC5" s="152"/>
      <c r="CBD5" s="152"/>
      <c r="CBE5" s="152"/>
      <c r="CBF5" s="152"/>
      <c r="CBG5" s="152"/>
      <c r="CBH5" s="152"/>
      <c r="CBI5" s="152"/>
      <c r="CBJ5" s="152"/>
      <c r="CBK5" s="152"/>
      <c r="CBL5" s="152"/>
      <c r="CBM5" s="152"/>
      <c r="CBN5" s="152"/>
      <c r="CBO5" s="152"/>
      <c r="CBP5" s="152"/>
      <c r="CBQ5" s="152"/>
      <c r="CBR5" s="152"/>
      <c r="CBS5" s="152"/>
      <c r="CBT5" s="152"/>
      <c r="CBU5" s="152"/>
      <c r="CBV5" s="152"/>
      <c r="CBW5" s="152"/>
      <c r="CBX5" s="152"/>
      <c r="CBY5" s="152"/>
      <c r="CBZ5" s="152"/>
      <c r="CCA5" s="152"/>
      <c r="CCB5" s="152"/>
      <c r="CCC5" s="152"/>
      <c r="CCD5" s="152"/>
      <c r="CCE5" s="152"/>
      <c r="CCF5" s="152"/>
      <c r="CCG5" s="152"/>
      <c r="CCH5" s="152"/>
      <c r="CCI5" s="152"/>
      <c r="CCJ5" s="152"/>
      <c r="CCK5" s="152"/>
      <c r="CCL5" s="152"/>
      <c r="CCM5" s="152"/>
      <c r="CCN5" s="152"/>
      <c r="CCO5" s="152"/>
      <c r="CCP5" s="152"/>
      <c r="CCQ5" s="152"/>
      <c r="CCR5" s="152"/>
      <c r="CCS5" s="152"/>
      <c r="CCT5" s="152"/>
      <c r="CCU5" s="152"/>
      <c r="CCV5" s="152"/>
      <c r="CCW5" s="152"/>
      <c r="CCX5" s="152"/>
      <c r="CCY5" s="152"/>
      <c r="CCZ5" s="152"/>
      <c r="CDA5" s="152"/>
      <c r="CDB5" s="152"/>
      <c r="CDC5" s="152"/>
      <c r="CDD5" s="152"/>
      <c r="CDE5" s="152"/>
      <c r="CDF5" s="152"/>
      <c r="CDG5" s="152"/>
      <c r="CDH5" s="152"/>
      <c r="CDI5" s="152"/>
      <c r="CDJ5" s="152"/>
      <c r="CDK5" s="152"/>
      <c r="CDL5" s="152"/>
      <c r="CDM5" s="152"/>
      <c r="CDN5" s="152"/>
      <c r="CDO5" s="152"/>
      <c r="CDP5" s="152"/>
      <c r="CDQ5" s="152"/>
      <c r="CDR5" s="152"/>
      <c r="CDS5" s="152"/>
      <c r="CDT5" s="152"/>
      <c r="CDU5" s="152"/>
      <c r="CDV5" s="152"/>
      <c r="CDW5" s="152"/>
      <c r="CDX5" s="152"/>
      <c r="CDY5" s="152"/>
      <c r="CDZ5" s="152"/>
      <c r="CEA5" s="152"/>
      <c r="CEB5" s="152"/>
      <c r="CEC5" s="152"/>
      <c r="CED5" s="152"/>
      <c r="CEE5" s="152"/>
      <c r="CEF5" s="152"/>
      <c r="CEG5" s="152"/>
      <c r="CEH5" s="152"/>
      <c r="CEI5" s="152"/>
      <c r="CEJ5" s="152"/>
      <c r="CEK5" s="152"/>
      <c r="CEL5" s="152"/>
      <c r="CEM5" s="152"/>
      <c r="CEN5" s="152"/>
      <c r="CEO5" s="152"/>
      <c r="CEP5" s="152"/>
      <c r="CEQ5" s="152"/>
      <c r="CER5" s="152"/>
      <c r="CES5" s="152"/>
      <c r="CET5" s="152"/>
      <c r="CEU5" s="152"/>
      <c r="CEV5" s="152"/>
      <c r="CEW5" s="152"/>
      <c r="CEX5" s="152"/>
      <c r="CEY5" s="152"/>
      <c r="CEZ5" s="152"/>
      <c r="CFA5" s="152"/>
      <c r="CFB5" s="152"/>
      <c r="CFC5" s="152"/>
      <c r="CFD5" s="152"/>
      <c r="CFE5" s="152"/>
      <c r="CFF5" s="152"/>
      <c r="CFG5" s="152"/>
      <c r="CFH5" s="152"/>
      <c r="CFI5" s="152"/>
      <c r="CFJ5" s="152"/>
      <c r="CFK5" s="152"/>
      <c r="CFL5" s="152"/>
      <c r="CFM5" s="152"/>
      <c r="CFN5" s="152"/>
      <c r="CFO5" s="152"/>
      <c r="CFP5" s="152"/>
      <c r="CFQ5" s="152"/>
      <c r="CFR5" s="152"/>
      <c r="CFS5" s="152"/>
      <c r="CFT5" s="152"/>
      <c r="CFU5" s="152"/>
      <c r="CFV5" s="152"/>
      <c r="CFW5" s="152"/>
      <c r="CFX5" s="152"/>
      <c r="CFY5" s="152"/>
      <c r="CFZ5" s="152"/>
      <c r="CGA5" s="152"/>
      <c r="CGB5" s="152"/>
      <c r="CGC5" s="152"/>
      <c r="CGD5" s="152"/>
      <c r="CGE5" s="152"/>
      <c r="CGF5" s="152"/>
      <c r="CGG5" s="152"/>
      <c r="CGH5" s="152"/>
      <c r="CGI5" s="152"/>
      <c r="CGJ5" s="152"/>
      <c r="CGK5" s="152"/>
      <c r="CGL5" s="152"/>
      <c r="CGM5" s="152"/>
      <c r="CGN5" s="152"/>
      <c r="CGO5" s="152"/>
      <c r="CGP5" s="152"/>
      <c r="CGQ5" s="152"/>
      <c r="CGR5" s="152"/>
      <c r="CGS5" s="152"/>
      <c r="CGT5" s="152"/>
      <c r="CGU5" s="152"/>
      <c r="CGV5" s="152"/>
      <c r="CGW5" s="152"/>
      <c r="CGX5" s="152"/>
      <c r="CGY5" s="152"/>
      <c r="CGZ5" s="152"/>
      <c r="CHA5" s="152"/>
      <c r="CHB5" s="152"/>
      <c r="CHC5" s="152"/>
      <c r="CHD5" s="152"/>
      <c r="CHE5" s="152"/>
      <c r="CHF5" s="152"/>
      <c r="CHG5" s="152"/>
      <c r="CHH5" s="152"/>
      <c r="CHI5" s="152"/>
      <c r="CHJ5" s="152"/>
      <c r="CHK5" s="152"/>
      <c r="CHL5" s="152"/>
      <c r="CHM5" s="152"/>
      <c r="CHN5" s="152"/>
      <c r="CHO5" s="152"/>
      <c r="CHP5" s="152"/>
      <c r="CHQ5" s="152"/>
      <c r="CHR5" s="152"/>
      <c r="CHS5" s="152"/>
      <c r="CHT5" s="152"/>
      <c r="CHU5" s="152"/>
      <c r="CHV5" s="152"/>
      <c r="CHW5" s="152"/>
      <c r="CHX5" s="152"/>
      <c r="CHY5" s="152"/>
      <c r="CHZ5" s="152"/>
      <c r="CIA5" s="152"/>
      <c r="CIB5" s="152"/>
      <c r="CIC5" s="152"/>
      <c r="CID5" s="152"/>
      <c r="CIE5" s="152"/>
      <c r="CIF5" s="152"/>
      <c r="CIG5" s="152"/>
      <c r="CIH5" s="152"/>
      <c r="CII5" s="152"/>
      <c r="CIJ5" s="152"/>
      <c r="CIK5" s="152"/>
      <c r="CIL5" s="152"/>
      <c r="CIM5" s="152"/>
      <c r="CIN5" s="152"/>
      <c r="CIO5" s="152"/>
      <c r="CIP5" s="152"/>
      <c r="CIQ5" s="152"/>
      <c r="CIR5" s="152"/>
      <c r="CIS5" s="152"/>
      <c r="CIT5" s="152"/>
      <c r="CIU5" s="152"/>
      <c r="CIV5" s="152"/>
      <c r="CIW5" s="152"/>
      <c r="CIX5" s="152"/>
      <c r="CIY5" s="152"/>
      <c r="CIZ5" s="152"/>
      <c r="CJA5" s="152"/>
      <c r="CJB5" s="152"/>
      <c r="CJC5" s="152"/>
      <c r="CJD5" s="152"/>
      <c r="CJE5" s="152"/>
      <c r="CJF5" s="152"/>
      <c r="CJG5" s="152"/>
      <c r="CJH5" s="152"/>
      <c r="CJI5" s="152"/>
      <c r="CJJ5" s="152"/>
      <c r="CJK5" s="152"/>
      <c r="CJL5" s="152"/>
      <c r="CJM5" s="152"/>
      <c r="CJN5" s="152"/>
      <c r="CJO5" s="152"/>
      <c r="CJP5" s="152"/>
      <c r="CJQ5" s="152"/>
      <c r="CJR5" s="152"/>
      <c r="CJS5" s="152"/>
      <c r="CJT5" s="152"/>
      <c r="CJU5" s="152"/>
      <c r="CJV5" s="152"/>
      <c r="CJW5" s="152"/>
      <c r="CJX5" s="152"/>
      <c r="CJY5" s="152"/>
      <c r="CJZ5" s="152"/>
      <c r="CKA5" s="152"/>
      <c r="CKB5" s="152"/>
      <c r="CKC5" s="152"/>
      <c r="CKD5" s="152"/>
      <c r="CKE5" s="152"/>
      <c r="CKF5" s="152"/>
      <c r="CKG5" s="152"/>
      <c r="CKH5" s="152"/>
      <c r="CKI5" s="152"/>
      <c r="CKJ5" s="152"/>
      <c r="CKK5" s="152"/>
      <c r="CKL5" s="152"/>
      <c r="CKM5" s="152"/>
      <c r="CKN5" s="152"/>
      <c r="CKO5" s="152"/>
      <c r="CKP5" s="152"/>
      <c r="CKQ5" s="152"/>
      <c r="CKR5" s="152"/>
      <c r="CKS5" s="152"/>
      <c r="CKT5" s="152"/>
      <c r="CKU5" s="152"/>
      <c r="CKV5" s="152"/>
      <c r="CKW5" s="152"/>
      <c r="CKX5" s="152"/>
      <c r="CKY5" s="152"/>
      <c r="CKZ5" s="152"/>
      <c r="CLA5" s="152"/>
      <c r="CLB5" s="152"/>
      <c r="CLC5" s="152"/>
      <c r="CLD5" s="152"/>
      <c r="CLE5" s="152"/>
      <c r="CLF5" s="152"/>
      <c r="CLG5" s="152"/>
      <c r="CLH5" s="152"/>
      <c r="CLI5" s="152"/>
      <c r="CLJ5" s="152"/>
      <c r="CLK5" s="152"/>
      <c r="CLL5" s="152"/>
      <c r="CLM5" s="152"/>
      <c r="CLN5" s="152"/>
      <c r="CLO5" s="152"/>
      <c r="CLP5" s="152"/>
      <c r="CLQ5" s="152"/>
      <c r="CLR5" s="152"/>
      <c r="CLS5" s="152"/>
      <c r="CLT5" s="152"/>
      <c r="CLU5" s="152"/>
      <c r="CLV5" s="152"/>
      <c r="CLW5" s="152"/>
      <c r="CLX5" s="152"/>
      <c r="CLY5" s="152"/>
      <c r="CLZ5" s="152"/>
      <c r="CMA5" s="152"/>
      <c r="CMB5" s="152"/>
      <c r="CMC5" s="152"/>
      <c r="CMD5" s="152"/>
      <c r="CME5" s="152"/>
      <c r="CMF5" s="152"/>
      <c r="CMG5" s="152"/>
      <c r="CMH5" s="152"/>
      <c r="CMI5" s="152"/>
      <c r="CMJ5" s="152"/>
      <c r="CMK5" s="152"/>
      <c r="CML5" s="152"/>
      <c r="CMM5" s="152"/>
      <c r="CMN5" s="152"/>
      <c r="CMO5" s="152"/>
      <c r="CMP5" s="152"/>
      <c r="CMQ5" s="152"/>
      <c r="CMR5" s="152"/>
      <c r="CMS5" s="152"/>
      <c r="CMT5" s="152"/>
      <c r="CMU5" s="152"/>
      <c r="CMV5" s="152"/>
      <c r="CMW5" s="152"/>
      <c r="CMX5" s="152"/>
      <c r="CMY5" s="152"/>
      <c r="CMZ5" s="152"/>
      <c r="CNA5" s="152"/>
      <c r="CNB5" s="152"/>
      <c r="CNC5" s="152"/>
      <c r="CND5" s="152"/>
      <c r="CNE5" s="152"/>
      <c r="CNF5" s="152"/>
      <c r="CNG5" s="152"/>
      <c r="CNH5" s="152"/>
      <c r="CNI5" s="152"/>
      <c r="CNJ5" s="152"/>
      <c r="CNK5" s="152"/>
      <c r="CNL5" s="152"/>
      <c r="CNM5" s="152"/>
      <c r="CNN5" s="152"/>
      <c r="CNO5" s="152"/>
      <c r="CNP5" s="152"/>
      <c r="CNQ5" s="152"/>
      <c r="CNR5" s="152"/>
      <c r="CNS5" s="152"/>
      <c r="CNT5" s="152"/>
      <c r="CNU5" s="152"/>
      <c r="CNV5" s="152"/>
      <c r="CNW5" s="152"/>
      <c r="CNX5" s="152"/>
      <c r="CNY5" s="152"/>
      <c r="CNZ5" s="152"/>
      <c r="COA5" s="152"/>
      <c r="COB5" s="152"/>
      <c r="COC5" s="152"/>
      <c r="COD5" s="152"/>
      <c r="COE5" s="152"/>
      <c r="COF5" s="152"/>
      <c r="COG5" s="152"/>
      <c r="COH5" s="152"/>
      <c r="COI5" s="152"/>
      <c r="COJ5" s="152"/>
      <c r="COK5" s="152"/>
      <c r="COL5" s="152"/>
      <c r="COM5" s="152"/>
      <c r="CON5" s="152"/>
      <c r="COO5" s="152"/>
      <c r="COP5" s="152"/>
      <c r="COQ5" s="152"/>
      <c r="COR5" s="152"/>
      <c r="COS5" s="152"/>
      <c r="COT5" s="152"/>
      <c r="COU5" s="152"/>
      <c r="COV5" s="152"/>
      <c r="COW5" s="152"/>
      <c r="COX5" s="152"/>
      <c r="COY5" s="152"/>
      <c r="COZ5" s="152"/>
      <c r="CPA5" s="152"/>
      <c r="CPB5" s="152"/>
      <c r="CPC5" s="152"/>
      <c r="CPD5" s="152"/>
      <c r="CPE5" s="152"/>
      <c r="CPF5" s="152"/>
      <c r="CPG5" s="152"/>
      <c r="CPH5" s="152"/>
      <c r="CPI5" s="152"/>
      <c r="CPJ5" s="152"/>
      <c r="CPK5" s="152"/>
      <c r="CPL5" s="152"/>
      <c r="CPM5" s="152"/>
      <c r="CPN5" s="152"/>
      <c r="CPO5" s="152"/>
      <c r="CPP5" s="152"/>
      <c r="CPQ5" s="152"/>
      <c r="CPR5" s="152"/>
      <c r="CPS5" s="152"/>
      <c r="CPT5" s="152"/>
      <c r="CPU5" s="152"/>
      <c r="CPV5" s="152"/>
      <c r="CPW5" s="152"/>
      <c r="CPX5" s="152"/>
      <c r="CPY5" s="152"/>
      <c r="CPZ5" s="152"/>
      <c r="CQA5" s="152"/>
      <c r="CQB5" s="152"/>
      <c r="CQC5" s="152"/>
      <c r="CQD5" s="152"/>
      <c r="CQE5" s="152"/>
      <c r="CQF5" s="152"/>
      <c r="CQG5" s="152"/>
      <c r="CQH5" s="152"/>
      <c r="CQI5" s="152"/>
      <c r="CQJ5" s="152"/>
      <c r="CQK5" s="152"/>
      <c r="CQL5" s="152"/>
      <c r="CQM5" s="152"/>
      <c r="CQN5" s="152"/>
      <c r="CQO5" s="152"/>
      <c r="CQP5" s="152"/>
      <c r="CQQ5" s="152"/>
      <c r="CQR5" s="152"/>
      <c r="CQS5" s="152"/>
      <c r="CQT5" s="152"/>
      <c r="CQU5" s="152"/>
      <c r="CQV5" s="152"/>
      <c r="CQW5" s="152"/>
      <c r="CQX5" s="152"/>
      <c r="CQY5" s="152"/>
      <c r="CQZ5" s="152"/>
      <c r="CRA5" s="152"/>
      <c r="CRB5" s="152"/>
      <c r="CRC5" s="152"/>
      <c r="CRD5" s="152"/>
      <c r="CRE5" s="152"/>
      <c r="CRF5" s="152"/>
      <c r="CRG5" s="152"/>
      <c r="CRH5" s="152"/>
      <c r="CRI5" s="152"/>
      <c r="CRJ5" s="152"/>
      <c r="CRK5" s="152"/>
      <c r="CRL5" s="152"/>
      <c r="CRM5" s="152"/>
      <c r="CRN5" s="152"/>
      <c r="CRO5" s="152"/>
      <c r="CRP5" s="152"/>
      <c r="CRQ5" s="152"/>
      <c r="CRR5" s="152"/>
      <c r="CRS5" s="152"/>
      <c r="CRT5" s="152"/>
      <c r="CRU5" s="152"/>
      <c r="CRV5" s="152"/>
      <c r="CRW5" s="152"/>
      <c r="CRX5" s="152"/>
      <c r="CRY5" s="152"/>
      <c r="CRZ5" s="152"/>
      <c r="CSA5" s="152"/>
      <c r="CSB5" s="152"/>
      <c r="CSC5" s="152"/>
      <c r="CSD5" s="152"/>
      <c r="CSE5" s="152"/>
      <c r="CSF5" s="152"/>
      <c r="CSG5" s="152"/>
      <c r="CSH5" s="152"/>
      <c r="CSI5" s="152"/>
      <c r="CSJ5" s="152"/>
      <c r="CSK5" s="152"/>
      <c r="CSL5" s="152"/>
      <c r="CSM5" s="152"/>
      <c r="CSN5" s="152"/>
      <c r="CSO5" s="152"/>
      <c r="CSP5" s="152"/>
      <c r="CSQ5" s="152"/>
      <c r="CSR5" s="152"/>
      <c r="CSS5" s="152"/>
      <c r="CST5" s="152"/>
      <c r="CSU5" s="152"/>
      <c r="CSV5" s="152"/>
      <c r="CSW5" s="152"/>
      <c r="CSX5" s="152"/>
      <c r="CSY5" s="152"/>
      <c r="CSZ5" s="152"/>
      <c r="CTA5" s="152"/>
      <c r="CTB5" s="152"/>
      <c r="CTC5" s="152"/>
      <c r="CTD5" s="152"/>
      <c r="CTE5" s="152"/>
      <c r="CTF5" s="152"/>
      <c r="CTG5" s="152"/>
      <c r="CTH5" s="152"/>
      <c r="CTI5" s="152"/>
      <c r="CTJ5" s="152"/>
      <c r="CTK5" s="152"/>
      <c r="CTL5" s="152"/>
      <c r="CTM5" s="152"/>
      <c r="CTN5" s="152"/>
      <c r="CTO5" s="152"/>
      <c r="CTP5" s="152"/>
      <c r="CTQ5" s="152"/>
      <c r="CTR5" s="152"/>
      <c r="CTS5" s="152"/>
      <c r="CTT5" s="152"/>
      <c r="CTU5" s="152"/>
      <c r="CTV5" s="152"/>
      <c r="CTW5" s="152"/>
      <c r="CTX5" s="152"/>
      <c r="CTY5" s="152"/>
      <c r="CTZ5" s="152"/>
      <c r="CUA5" s="152"/>
      <c r="CUB5" s="152"/>
      <c r="CUC5" s="152"/>
      <c r="CUD5" s="152"/>
      <c r="CUE5" s="152"/>
      <c r="CUF5" s="152"/>
      <c r="CUG5" s="152"/>
      <c r="CUH5" s="152"/>
      <c r="CUI5" s="152"/>
      <c r="CUJ5" s="152"/>
      <c r="CUK5" s="152"/>
      <c r="CUL5" s="152"/>
      <c r="CUM5" s="152"/>
      <c r="CUN5" s="152"/>
      <c r="CUO5" s="152"/>
      <c r="CUP5" s="152"/>
      <c r="CUQ5" s="152"/>
      <c r="CUR5" s="152"/>
      <c r="CUS5" s="152"/>
      <c r="CUT5" s="152"/>
      <c r="CUU5" s="152"/>
      <c r="CUV5" s="152"/>
      <c r="CUW5" s="152"/>
      <c r="CUX5" s="152"/>
      <c r="CUY5" s="152"/>
      <c r="CUZ5" s="152"/>
      <c r="CVA5" s="152"/>
      <c r="CVB5" s="152"/>
      <c r="CVC5" s="152"/>
      <c r="CVD5" s="152"/>
      <c r="CVE5" s="152"/>
      <c r="CVF5" s="152"/>
      <c r="CVG5" s="152"/>
      <c r="CVH5" s="152"/>
      <c r="CVI5" s="152"/>
      <c r="CVJ5" s="152"/>
      <c r="CVK5" s="152"/>
      <c r="CVL5" s="152"/>
      <c r="CVM5" s="152"/>
      <c r="CVN5" s="152"/>
      <c r="CVO5" s="152"/>
      <c r="CVP5" s="152"/>
      <c r="CVQ5" s="152"/>
      <c r="CVR5" s="152"/>
      <c r="CVS5" s="152"/>
      <c r="CVT5" s="152"/>
      <c r="CVU5" s="152"/>
      <c r="CVV5" s="152"/>
      <c r="CVW5" s="152"/>
      <c r="CVX5" s="152"/>
      <c r="CVY5" s="152"/>
      <c r="CVZ5" s="152"/>
      <c r="CWA5" s="152"/>
      <c r="CWB5" s="152"/>
      <c r="CWC5" s="152"/>
      <c r="CWD5" s="152"/>
      <c r="CWE5" s="152"/>
      <c r="CWF5" s="152"/>
      <c r="CWG5" s="152"/>
      <c r="CWH5" s="152"/>
      <c r="CWI5" s="152"/>
      <c r="CWJ5" s="152"/>
      <c r="CWK5" s="152"/>
      <c r="CWL5" s="152"/>
      <c r="CWM5" s="152"/>
      <c r="CWN5" s="152"/>
      <c r="CWO5" s="152"/>
      <c r="CWP5" s="152"/>
      <c r="CWQ5" s="152"/>
      <c r="CWR5" s="152"/>
      <c r="CWS5" s="152"/>
      <c r="CWT5" s="152"/>
      <c r="CWU5" s="152"/>
      <c r="CWV5" s="152"/>
      <c r="CWW5" s="152"/>
      <c r="CWX5" s="152"/>
      <c r="CWY5" s="152"/>
      <c r="CWZ5" s="152"/>
      <c r="CXA5" s="152"/>
      <c r="CXB5" s="152"/>
      <c r="CXC5" s="152"/>
      <c r="CXD5" s="152"/>
      <c r="CXE5" s="152"/>
      <c r="CXF5" s="152"/>
      <c r="CXG5" s="152"/>
      <c r="CXH5" s="152"/>
      <c r="CXI5" s="152"/>
      <c r="CXJ5" s="152"/>
      <c r="CXK5" s="152"/>
      <c r="CXL5" s="152"/>
      <c r="CXM5" s="152"/>
      <c r="CXN5" s="152"/>
      <c r="CXO5" s="152"/>
      <c r="CXP5" s="152"/>
      <c r="CXQ5" s="152"/>
      <c r="CXR5" s="152"/>
      <c r="CXS5" s="152"/>
      <c r="CXT5" s="152"/>
      <c r="CXU5" s="152"/>
      <c r="CXV5" s="152"/>
      <c r="CXW5" s="152"/>
      <c r="CXX5" s="152"/>
      <c r="CXY5" s="152"/>
      <c r="CXZ5" s="152"/>
      <c r="CYA5" s="152"/>
      <c r="CYB5" s="152"/>
      <c r="CYC5" s="152"/>
      <c r="CYD5" s="152"/>
      <c r="CYE5" s="152"/>
      <c r="CYF5" s="152"/>
      <c r="CYG5" s="152"/>
      <c r="CYH5" s="152"/>
      <c r="CYI5" s="152"/>
      <c r="CYJ5" s="152"/>
      <c r="CYK5" s="152"/>
      <c r="CYL5" s="152"/>
      <c r="CYM5" s="152"/>
      <c r="CYN5" s="152"/>
      <c r="CYO5" s="152"/>
      <c r="CYP5" s="152"/>
      <c r="CYQ5" s="152"/>
      <c r="CYR5" s="152"/>
      <c r="CYS5" s="152"/>
      <c r="CYT5" s="152"/>
      <c r="CYU5" s="152"/>
      <c r="CYV5" s="152"/>
      <c r="CYW5" s="152"/>
      <c r="CYX5" s="152"/>
      <c r="CYY5" s="152"/>
      <c r="CYZ5" s="152"/>
      <c r="CZA5" s="152"/>
      <c r="CZB5" s="152"/>
      <c r="CZC5" s="152"/>
      <c r="CZD5" s="152"/>
      <c r="CZE5" s="152"/>
      <c r="CZF5" s="152"/>
      <c r="CZG5" s="152"/>
      <c r="CZH5" s="152"/>
      <c r="CZI5" s="152"/>
      <c r="CZJ5" s="152"/>
      <c r="CZK5" s="152"/>
      <c r="CZL5" s="152"/>
      <c r="CZM5" s="152"/>
      <c r="CZN5" s="152"/>
      <c r="CZO5" s="152"/>
      <c r="CZP5" s="152"/>
      <c r="CZQ5" s="152"/>
      <c r="CZR5" s="152"/>
      <c r="CZS5" s="152"/>
      <c r="CZT5" s="152"/>
      <c r="CZU5" s="152"/>
      <c r="CZV5" s="152"/>
      <c r="CZW5" s="152"/>
      <c r="CZX5" s="152"/>
      <c r="CZY5" s="152"/>
      <c r="CZZ5" s="152"/>
      <c r="DAA5" s="152"/>
      <c r="DAB5" s="152"/>
      <c r="DAC5" s="152"/>
      <c r="DAD5" s="152"/>
      <c r="DAE5" s="152"/>
      <c r="DAF5" s="152"/>
      <c r="DAG5" s="152"/>
      <c r="DAH5" s="152"/>
      <c r="DAI5" s="152"/>
      <c r="DAJ5" s="152"/>
      <c r="DAK5" s="152"/>
      <c r="DAL5" s="152"/>
      <c r="DAM5" s="152"/>
      <c r="DAN5" s="152"/>
      <c r="DAO5" s="152"/>
      <c r="DAP5" s="152"/>
      <c r="DAQ5" s="152"/>
      <c r="DAR5" s="152"/>
      <c r="DAS5" s="152"/>
      <c r="DAT5" s="152"/>
      <c r="DAU5" s="152"/>
      <c r="DAV5" s="152"/>
      <c r="DAW5" s="152"/>
      <c r="DAX5" s="152"/>
      <c r="DAY5" s="152"/>
      <c r="DAZ5" s="152"/>
      <c r="DBA5" s="152"/>
      <c r="DBB5" s="152"/>
      <c r="DBC5" s="152"/>
      <c r="DBD5" s="152"/>
      <c r="DBE5" s="152"/>
      <c r="DBF5" s="152"/>
      <c r="DBG5" s="152"/>
      <c r="DBH5" s="152"/>
      <c r="DBI5" s="152"/>
      <c r="DBJ5" s="152"/>
      <c r="DBK5" s="152"/>
      <c r="DBL5" s="152"/>
      <c r="DBM5" s="152"/>
      <c r="DBN5" s="152"/>
      <c r="DBO5" s="152"/>
      <c r="DBP5" s="152"/>
      <c r="DBQ5" s="152"/>
      <c r="DBR5" s="152"/>
      <c r="DBS5" s="152"/>
      <c r="DBT5" s="152"/>
      <c r="DBU5" s="152"/>
      <c r="DBV5" s="152"/>
      <c r="DBW5" s="152"/>
      <c r="DBX5" s="152"/>
      <c r="DBY5" s="152"/>
      <c r="DBZ5" s="152"/>
      <c r="DCA5" s="152"/>
      <c r="DCB5" s="152"/>
      <c r="DCC5" s="152"/>
      <c r="DCD5" s="152"/>
      <c r="DCE5" s="152"/>
      <c r="DCF5" s="152"/>
      <c r="DCG5" s="152"/>
      <c r="DCH5" s="152"/>
      <c r="DCI5" s="152"/>
      <c r="DCJ5" s="152"/>
      <c r="DCK5" s="152"/>
      <c r="DCL5" s="152"/>
      <c r="DCM5" s="152"/>
      <c r="DCN5" s="152"/>
      <c r="DCO5" s="152"/>
      <c r="DCP5" s="152"/>
      <c r="DCQ5" s="152"/>
      <c r="DCR5" s="152"/>
      <c r="DCS5" s="152"/>
      <c r="DCT5" s="152"/>
      <c r="DCU5" s="152"/>
      <c r="DCV5" s="152"/>
      <c r="DCW5" s="152"/>
      <c r="DCX5" s="152"/>
      <c r="DCY5" s="152"/>
      <c r="DCZ5" s="152"/>
      <c r="DDA5" s="152"/>
      <c r="DDB5" s="152"/>
      <c r="DDC5" s="152"/>
      <c r="DDD5" s="152"/>
      <c r="DDE5" s="152"/>
      <c r="DDF5" s="152"/>
      <c r="DDG5" s="152"/>
      <c r="DDH5" s="152"/>
      <c r="DDI5" s="152"/>
      <c r="DDJ5" s="152"/>
      <c r="DDK5" s="152"/>
      <c r="DDL5" s="152"/>
      <c r="DDM5" s="152"/>
      <c r="DDN5" s="152"/>
      <c r="DDO5" s="152"/>
      <c r="DDP5" s="152"/>
      <c r="DDQ5" s="152"/>
      <c r="DDR5" s="152"/>
      <c r="DDS5" s="152"/>
      <c r="DDT5" s="152"/>
      <c r="DDU5" s="152"/>
      <c r="DDV5" s="152"/>
      <c r="DDW5" s="152"/>
      <c r="DDX5" s="152"/>
      <c r="DDY5" s="152"/>
      <c r="DDZ5" s="152"/>
      <c r="DEA5" s="152"/>
      <c r="DEB5" s="152"/>
      <c r="DEC5" s="152"/>
      <c r="DED5" s="152"/>
      <c r="DEE5" s="152"/>
      <c r="DEF5" s="152"/>
      <c r="DEG5" s="152"/>
      <c r="DEH5" s="152"/>
      <c r="DEI5" s="152"/>
      <c r="DEJ5" s="152"/>
      <c r="DEK5" s="152"/>
      <c r="DEL5" s="152"/>
      <c r="DEM5" s="152"/>
      <c r="DEN5" s="152"/>
      <c r="DEO5" s="152"/>
      <c r="DEP5" s="152"/>
      <c r="DEQ5" s="152"/>
      <c r="DER5" s="152"/>
      <c r="DES5" s="152"/>
      <c r="DET5" s="152"/>
      <c r="DEU5" s="152"/>
      <c r="DEV5" s="152"/>
      <c r="DEW5" s="152"/>
      <c r="DEX5" s="152"/>
      <c r="DEY5" s="152"/>
      <c r="DEZ5" s="152"/>
      <c r="DFA5" s="152"/>
      <c r="DFB5" s="152"/>
      <c r="DFC5" s="152"/>
      <c r="DFD5" s="152"/>
      <c r="DFE5" s="152"/>
      <c r="DFF5" s="152"/>
      <c r="DFG5" s="152"/>
      <c r="DFH5" s="152"/>
      <c r="DFI5" s="152"/>
      <c r="DFJ5" s="152"/>
      <c r="DFK5" s="152"/>
      <c r="DFL5" s="152"/>
      <c r="DFM5" s="152"/>
      <c r="DFN5" s="152"/>
      <c r="DFO5" s="152"/>
      <c r="DFP5" s="152"/>
      <c r="DFQ5" s="152"/>
      <c r="DFR5" s="152"/>
      <c r="DFS5" s="152"/>
      <c r="DFT5" s="152"/>
      <c r="DFU5" s="152"/>
      <c r="DFV5" s="152"/>
      <c r="DFW5" s="152"/>
      <c r="DFX5" s="152"/>
      <c r="DFY5" s="152"/>
      <c r="DFZ5" s="152"/>
      <c r="DGA5" s="152"/>
      <c r="DGB5" s="152"/>
      <c r="DGC5" s="152"/>
      <c r="DGD5" s="152"/>
      <c r="DGE5" s="152"/>
      <c r="DGF5" s="152"/>
      <c r="DGG5" s="152"/>
      <c r="DGH5" s="152"/>
      <c r="DGI5" s="152"/>
      <c r="DGJ5" s="152"/>
      <c r="DGK5" s="152"/>
      <c r="DGL5" s="152"/>
      <c r="DGM5" s="152"/>
      <c r="DGN5" s="152"/>
      <c r="DGO5" s="152"/>
      <c r="DGP5" s="152"/>
      <c r="DGQ5" s="152"/>
      <c r="DGR5" s="152"/>
      <c r="DGS5" s="152"/>
      <c r="DGT5" s="152"/>
      <c r="DGU5" s="152"/>
      <c r="DGV5" s="152"/>
      <c r="DGW5" s="152"/>
      <c r="DGX5" s="152"/>
      <c r="DGY5" s="152"/>
      <c r="DGZ5" s="152"/>
      <c r="DHA5" s="152"/>
      <c r="DHB5" s="152"/>
      <c r="DHC5" s="152"/>
      <c r="DHD5" s="152"/>
      <c r="DHE5" s="152"/>
      <c r="DHF5" s="152"/>
      <c r="DHG5" s="152"/>
      <c r="DHH5" s="152"/>
      <c r="DHI5" s="152"/>
      <c r="DHJ5" s="152"/>
      <c r="DHK5" s="152"/>
      <c r="DHL5" s="152"/>
      <c r="DHM5" s="152"/>
      <c r="DHN5" s="152"/>
      <c r="DHO5" s="152"/>
      <c r="DHP5" s="152"/>
      <c r="DHQ5" s="152"/>
      <c r="DHR5" s="152"/>
      <c r="DHS5" s="152"/>
      <c r="DHT5" s="152"/>
      <c r="DHU5" s="152"/>
      <c r="DHV5" s="152"/>
      <c r="DHW5" s="152"/>
      <c r="DHX5" s="152"/>
      <c r="DHY5" s="152"/>
      <c r="DHZ5" s="152"/>
      <c r="DIA5" s="152"/>
      <c r="DIB5" s="152"/>
      <c r="DIC5" s="152"/>
      <c r="DID5" s="152"/>
      <c r="DIE5" s="152"/>
      <c r="DIF5" s="152"/>
      <c r="DIG5" s="152"/>
      <c r="DIH5" s="152"/>
      <c r="DII5" s="152"/>
      <c r="DIJ5" s="152"/>
      <c r="DIK5" s="152"/>
      <c r="DIL5" s="152"/>
      <c r="DIM5" s="152"/>
      <c r="DIN5" s="152"/>
      <c r="DIO5" s="152"/>
      <c r="DIP5" s="152"/>
      <c r="DIQ5" s="152"/>
      <c r="DIR5" s="152"/>
      <c r="DIS5" s="152"/>
      <c r="DIT5" s="152"/>
      <c r="DIU5" s="152"/>
      <c r="DIV5" s="152"/>
      <c r="DIW5" s="152"/>
      <c r="DIX5" s="152"/>
      <c r="DIY5" s="152"/>
      <c r="DIZ5" s="152"/>
      <c r="DJA5" s="152"/>
      <c r="DJB5" s="152"/>
      <c r="DJC5" s="152"/>
      <c r="DJD5" s="152"/>
      <c r="DJE5" s="152"/>
      <c r="DJF5" s="152"/>
      <c r="DJG5" s="152"/>
      <c r="DJH5" s="152"/>
      <c r="DJI5" s="152"/>
      <c r="DJJ5" s="152"/>
      <c r="DJK5" s="152"/>
      <c r="DJL5" s="152"/>
      <c r="DJM5" s="152"/>
      <c r="DJN5" s="152"/>
      <c r="DJO5" s="152"/>
      <c r="DJP5" s="152"/>
      <c r="DJQ5" s="152"/>
      <c r="DJR5" s="152"/>
      <c r="DJS5" s="152"/>
      <c r="DJT5" s="152"/>
      <c r="DJU5" s="152"/>
      <c r="DJV5" s="152"/>
      <c r="DJW5" s="152"/>
      <c r="DJX5" s="152"/>
      <c r="DJY5" s="152"/>
      <c r="DJZ5" s="152"/>
      <c r="DKA5" s="152"/>
      <c r="DKB5" s="152"/>
      <c r="DKC5" s="152"/>
      <c r="DKD5" s="152"/>
      <c r="DKE5" s="152"/>
      <c r="DKF5" s="152"/>
      <c r="DKG5" s="152"/>
      <c r="DKH5" s="152"/>
      <c r="DKI5" s="152"/>
      <c r="DKJ5" s="152"/>
      <c r="DKK5" s="152"/>
      <c r="DKL5" s="152"/>
      <c r="DKM5" s="152"/>
      <c r="DKN5" s="152"/>
      <c r="DKO5" s="152"/>
      <c r="DKP5" s="152"/>
      <c r="DKQ5" s="152"/>
      <c r="DKR5" s="152"/>
      <c r="DKS5" s="152"/>
      <c r="DKT5" s="152"/>
      <c r="DKU5" s="152"/>
      <c r="DKV5" s="152"/>
      <c r="DKW5" s="152"/>
      <c r="DKX5" s="152"/>
      <c r="DKY5" s="152"/>
      <c r="DKZ5" s="152"/>
      <c r="DLA5" s="152"/>
      <c r="DLB5" s="152"/>
      <c r="DLC5" s="152"/>
      <c r="DLD5" s="152"/>
      <c r="DLE5" s="152"/>
      <c r="DLF5" s="152"/>
      <c r="DLG5" s="152"/>
      <c r="DLH5" s="152"/>
      <c r="DLI5" s="152"/>
      <c r="DLJ5" s="152"/>
      <c r="DLK5" s="152"/>
      <c r="DLL5" s="152"/>
      <c r="DLM5" s="152"/>
      <c r="DLN5" s="152"/>
      <c r="DLO5" s="152"/>
      <c r="DLP5" s="152"/>
      <c r="DLQ5" s="152"/>
      <c r="DLR5" s="152"/>
      <c r="DLS5" s="152"/>
      <c r="DLT5" s="152"/>
      <c r="DLU5" s="152"/>
      <c r="DLV5" s="152"/>
      <c r="DLW5" s="152"/>
      <c r="DLX5" s="152"/>
      <c r="DLY5" s="152"/>
      <c r="DLZ5" s="152"/>
      <c r="DMA5" s="152"/>
      <c r="DMB5" s="152"/>
      <c r="DMC5" s="152"/>
      <c r="DMD5" s="152"/>
      <c r="DME5" s="152"/>
      <c r="DMF5" s="152"/>
      <c r="DMG5" s="152"/>
      <c r="DMH5" s="152"/>
      <c r="DMI5" s="152"/>
      <c r="DMJ5" s="152"/>
      <c r="DMK5" s="152"/>
      <c r="DML5" s="152"/>
      <c r="DMM5" s="152"/>
      <c r="DMN5" s="152"/>
      <c r="DMO5" s="152"/>
      <c r="DMP5" s="152"/>
      <c r="DMQ5" s="152"/>
      <c r="DMR5" s="152"/>
      <c r="DMS5" s="152"/>
      <c r="DMT5" s="152"/>
      <c r="DMU5" s="152"/>
      <c r="DMV5" s="152"/>
      <c r="DMW5" s="152"/>
      <c r="DMX5" s="152"/>
      <c r="DMY5" s="152"/>
      <c r="DMZ5" s="152"/>
      <c r="DNA5" s="152"/>
      <c r="DNB5" s="152"/>
      <c r="DNC5" s="152"/>
      <c r="DND5" s="152"/>
      <c r="DNE5" s="152"/>
      <c r="DNF5" s="152"/>
      <c r="DNG5" s="152"/>
      <c r="DNH5" s="152"/>
      <c r="DNI5" s="152"/>
      <c r="DNJ5" s="152"/>
      <c r="DNK5" s="152"/>
      <c r="DNL5" s="152"/>
      <c r="DNM5" s="152"/>
      <c r="DNN5" s="152"/>
      <c r="DNO5" s="152"/>
      <c r="DNP5" s="152"/>
      <c r="DNQ5" s="152"/>
      <c r="DNR5" s="152"/>
      <c r="DNS5" s="152"/>
      <c r="DNT5" s="152"/>
      <c r="DNU5" s="152"/>
      <c r="DNV5" s="152"/>
      <c r="DNW5" s="152"/>
      <c r="DNX5" s="152"/>
      <c r="DNY5" s="152"/>
      <c r="DNZ5" s="152"/>
      <c r="DOA5" s="152"/>
      <c r="DOB5" s="152"/>
      <c r="DOC5" s="152"/>
      <c r="DOD5" s="152"/>
      <c r="DOE5" s="152"/>
      <c r="DOF5" s="152"/>
      <c r="DOG5" s="152"/>
      <c r="DOH5" s="152"/>
      <c r="DOI5" s="152"/>
      <c r="DOJ5" s="152"/>
      <c r="DOK5" s="152"/>
      <c r="DOL5" s="152"/>
      <c r="DOM5" s="152"/>
      <c r="DON5" s="152"/>
      <c r="DOO5" s="152"/>
      <c r="DOP5" s="152"/>
      <c r="DOQ5" s="152"/>
      <c r="DOR5" s="152"/>
      <c r="DOS5" s="152"/>
      <c r="DOT5" s="152"/>
      <c r="DOU5" s="152"/>
      <c r="DOV5" s="152"/>
      <c r="DOW5" s="152"/>
      <c r="DOX5" s="152"/>
      <c r="DOY5" s="152"/>
      <c r="DOZ5" s="152"/>
      <c r="DPA5" s="152"/>
      <c r="DPB5" s="152"/>
      <c r="DPC5" s="152"/>
      <c r="DPD5" s="152"/>
      <c r="DPE5" s="152"/>
      <c r="DPF5" s="152"/>
      <c r="DPG5" s="152"/>
      <c r="DPH5" s="152"/>
      <c r="DPI5" s="152"/>
      <c r="DPJ5" s="152"/>
      <c r="DPK5" s="152"/>
      <c r="DPL5" s="152"/>
      <c r="DPM5" s="152"/>
      <c r="DPN5" s="152"/>
      <c r="DPO5" s="152"/>
      <c r="DPP5" s="152"/>
      <c r="DPQ5" s="152"/>
      <c r="DPR5" s="152"/>
      <c r="DPS5" s="152"/>
      <c r="DPT5" s="152"/>
      <c r="DPU5" s="152"/>
      <c r="DPV5" s="152"/>
      <c r="DPW5" s="152"/>
      <c r="DPX5" s="152"/>
      <c r="DPY5" s="152"/>
      <c r="DPZ5" s="152"/>
      <c r="DQA5" s="152"/>
      <c r="DQB5" s="152"/>
      <c r="DQC5" s="152"/>
      <c r="DQD5" s="152"/>
      <c r="DQE5" s="152"/>
      <c r="DQF5" s="152"/>
      <c r="DQG5" s="152"/>
      <c r="DQH5" s="152"/>
      <c r="DQI5" s="152"/>
      <c r="DQJ5" s="152"/>
      <c r="DQK5" s="152"/>
      <c r="DQL5" s="152"/>
      <c r="DQM5" s="152"/>
      <c r="DQN5" s="152"/>
      <c r="DQO5" s="152"/>
      <c r="DQP5" s="152"/>
      <c r="DQQ5" s="152"/>
      <c r="DQR5" s="152"/>
      <c r="DQS5" s="152"/>
      <c r="DQT5" s="152"/>
      <c r="DQU5" s="152"/>
      <c r="DQV5" s="152"/>
      <c r="DQW5" s="152"/>
      <c r="DQX5" s="152"/>
      <c r="DQY5" s="152"/>
      <c r="DQZ5" s="152"/>
      <c r="DRA5" s="152"/>
      <c r="DRB5" s="152"/>
      <c r="DRC5" s="152"/>
      <c r="DRD5" s="152"/>
      <c r="DRE5" s="152"/>
      <c r="DRF5" s="152"/>
      <c r="DRG5" s="152"/>
      <c r="DRH5" s="152"/>
      <c r="DRI5" s="152"/>
      <c r="DRJ5" s="152"/>
      <c r="DRK5" s="152"/>
      <c r="DRL5" s="152"/>
      <c r="DRM5" s="152"/>
      <c r="DRN5" s="152"/>
      <c r="DRO5" s="152"/>
      <c r="DRP5" s="152"/>
      <c r="DRQ5" s="152"/>
      <c r="DRR5" s="152"/>
      <c r="DRS5" s="152"/>
      <c r="DRT5" s="152"/>
      <c r="DRU5" s="152"/>
      <c r="DRV5" s="152"/>
      <c r="DRW5" s="152"/>
      <c r="DRX5" s="152"/>
      <c r="DRY5" s="152"/>
      <c r="DRZ5" s="152"/>
      <c r="DSA5" s="152"/>
      <c r="DSB5" s="152"/>
      <c r="DSC5" s="152"/>
      <c r="DSD5" s="152"/>
      <c r="DSE5" s="152"/>
      <c r="DSF5" s="152"/>
      <c r="DSG5" s="152"/>
      <c r="DSH5" s="152"/>
      <c r="DSI5" s="152"/>
      <c r="DSJ5" s="152"/>
      <c r="DSK5" s="152"/>
      <c r="DSL5" s="152"/>
      <c r="DSM5" s="152"/>
      <c r="DSN5" s="152"/>
      <c r="DSO5" s="152"/>
      <c r="DSP5" s="152"/>
      <c r="DSQ5" s="152"/>
      <c r="DSR5" s="152"/>
      <c r="DSS5" s="152"/>
      <c r="DST5" s="152"/>
      <c r="DSU5" s="152"/>
      <c r="DSV5" s="152"/>
      <c r="DSW5" s="152"/>
      <c r="DSX5" s="152"/>
      <c r="DSY5" s="152"/>
      <c r="DSZ5" s="152"/>
      <c r="DTA5" s="152"/>
      <c r="DTB5" s="152"/>
      <c r="DTC5" s="152"/>
      <c r="DTD5" s="152"/>
      <c r="DTE5" s="152"/>
      <c r="DTF5" s="152"/>
      <c r="DTG5" s="152"/>
      <c r="DTH5" s="152"/>
      <c r="DTI5" s="152"/>
      <c r="DTJ5" s="152"/>
      <c r="DTK5" s="152"/>
      <c r="DTL5" s="152"/>
      <c r="DTM5" s="152"/>
      <c r="DTN5" s="152"/>
      <c r="DTO5" s="152"/>
      <c r="DTP5" s="152"/>
      <c r="DTQ5" s="152"/>
      <c r="DTR5" s="152"/>
      <c r="DTS5" s="152"/>
      <c r="DTT5" s="152"/>
      <c r="DTU5" s="152"/>
      <c r="DTV5" s="152"/>
      <c r="DTW5" s="152"/>
      <c r="DTX5" s="152"/>
      <c r="DTY5" s="152"/>
      <c r="DTZ5" s="152"/>
      <c r="DUA5" s="152"/>
      <c r="DUB5" s="152"/>
      <c r="DUC5" s="152"/>
      <c r="DUD5" s="152"/>
      <c r="DUE5" s="152"/>
      <c r="DUF5" s="152"/>
      <c r="DUG5" s="152"/>
      <c r="DUH5" s="152"/>
      <c r="DUI5" s="152"/>
      <c r="DUJ5" s="152"/>
      <c r="DUK5" s="152"/>
      <c r="DUL5" s="152"/>
      <c r="DUM5" s="152"/>
      <c r="DUN5" s="152"/>
      <c r="DUO5" s="152"/>
      <c r="DUP5" s="152"/>
      <c r="DUQ5" s="152"/>
      <c r="DUR5" s="152"/>
      <c r="DUS5" s="152"/>
      <c r="DUT5" s="152"/>
      <c r="DUU5" s="152"/>
      <c r="DUV5" s="152"/>
      <c r="DUW5" s="152"/>
      <c r="DUX5" s="152"/>
      <c r="DUY5" s="152"/>
      <c r="DUZ5" s="152"/>
      <c r="DVA5" s="152"/>
      <c r="DVB5" s="152"/>
      <c r="DVC5" s="152"/>
      <c r="DVD5" s="152"/>
      <c r="DVE5" s="152"/>
      <c r="DVF5" s="152"/>
      <c r="DVG5" s="152"/>
      <c r="DVH5" s="152"/>
      <c r="DVI5" s="152"/>
      <c r="DVJ5" s="152"/>
      <c r="DVK5" s="152"/>
      <c r="DVL5" s="152"/>
      <c r="DVM5" s="152"/>
      <c r="DVN5" s="152"/>
      <c r="DVO5" s="152"/>
      <c r="DVP5" s="152"/>
      <c r="DVQ5" s="152"/>
      <c r="DVR5" s="152"/>
      <c r="DVS5" s="152"/>
      <c r="DVT5" s="152"/>
      <c r="DVU5" s="152"/>
      <c r="DVV5" s="152"/>
      <c r="DVW5" s="152"/>
      <c r="DVX5" s="152"/>
      <c r="DVY5" s="152"/>
      <c r="DVZ5" s="152"/>
      <c r="DWA5" s="152"/>
      <c r="DWB5" s="152"/>
      <c r="DWC5" s="152"/>
      <c r="DWD5" s="152"/>
      <c r="DWE5" s="152"/>
      <c r="DWF5" s="152"/>
      <c r="DWG5" s="152"/>
      <c r="DWH5" s="152"/>
      <c r="DWI5" s="152"/>
      <c r="DWJ5" s="152"/>
      <c r="DWK5" s="152"/>
      <c r="DWL5" s="152"/>
      <c r="DWM5" s="152"/>
      <c r="DWN5" s="152"/>
      <c r="DWO5" s="152"/>
      <c r="DWP5" s="152"/>
      <c r="DWQ5" s="152"/>
      <c r="DWR5" s="152"/>
      <c r="DWS5" s="152"/>
      <c r="DWT5" s="152"/>
      <c r="DWU5" s="152"/>
      <c r="DWV5" s="152"/>
      <c r="DWW5" s="152"/>
      <c r="DWX5" s="152"/>
      <c r="DWY5" s="152"/>
      <c r="DWZ5" s="152"/>
      <c r="DXA5" s="152"/>
      <c r="DXB5" s="152"/>
      <c r="DXC5" s="152"/>
      <c r="DXD5" s="152"/>
      <c r="DXE5" s="152"/>
      <c r="DXF5" s="152"/>
      <c r="DXG5" s="152"/>
      <c r="DXH5" s="152"/>
      <c r="DXI5" s="152"/>
      <c r="DXJ5" s="152"/>
      <c r="DXK5" s="152"/>
      <c r="DXL5" s="152"/>
      <c r="DXM5" s="152"/>
      <c r="DXN5" s="152"/>
      <c r="DXO5" s="152"/>
      <c r="DXP5" s="152"/>
      <c r="DXQ5" s="152"/>
      <c r="DXR5" s="152"/>
      <c r="DXS5" s="152"/>
      <c r="DXT5" s="152"/>
      <c r="DXU5" s="152"/>
      <c r="DXV5" s="152"/>
      <c r="DXW5" s="152"/>
      <c r="DXX5" s="152"/>
      <c r="DXY5" s="152"/>
      <c r="DXZ5" s="152"/>
      <c r="DYA5" s="152"/>
      <c r="DYB5" s="152"/>
      <c r="DYC5" s="152"/>
      <c r="DYD5" s="152"/>
      <c r="DYE5" s="152"/>
      <c r="DYF5" s="152"/>
      <c r="DYG5" s="152"/>
      <c r="DYH5" s="152"/>
      <c r="DYI5" s="152"/>
      <c r="DYJ5" s="152"/>
      <c r="DYK5" s="152"/>
      <c r="DYL5" s="152"/>
      <c r="DYM5" s="152"/>
      <c r="DYN5" s="152"/>
      <c r="DYO5" s="152"/>
      <c r="DYP5" s="152"/>
      <c r="DYQ5" s="152"/>
      <c r="DYR5" s="152"/>
      <c r="DYS5" s="152"/>
      <c r="DYT5" s="152"/>
      <c r="DYU5" s="152"/>
      <c r="DYV5" s="152"/>
      <c r="DYW5" s="152"/>
      <c r="DYX5" s="152"/>
      <c r="DYY5" s="152"/>
      <c r="DYZ5" s="152"/>
      <c r="DZA5" s="152"/>
      <c r="DZB5" s="152"/>
      <c r="DZC5" s="152"/>
      <c r="DZD5" s="152"/>
      <c r="DZE5" s="152"/>
      <c r="DZF5" s="152"/>
      <c r="DZG5" s="152"/>
      <c r="DZH5" s="152"/>
      <c r="DZI5" s="152"/>
      <c r="DZJ5" s="152"/>
      <c r="DZK5" s="152"/>
      <c r="DZL5" s="152"/>
      <c r="DZM5" s="152"/>
      <c r="DZN5" s="152"/>
      <c r="DZO5" s="152"/>
      <c r="DZP5" s="152"/>
      <c r="DZQ5" s="152"/>
      <c r="DZR5" s="152"/>
      <c r="DZS5" s="152"/>
      <c r="DZT5" s="152"/>
      <c r="DZU5" s="152"/>
      <c r="DZV5" s="152"/>
      <c r="DZW5" s="152"/>
      <c r="DZX5" s="152"/>
      <c r="DZY5" s="152"/>
      <c r="DZZ5" s="152"/>
      <c r="EAA5" s="152"/>
      <c r="EAB5" s="152"/>
      <c r="EAC5" s="152"/>
      <c r="EAD5" s="152"/>
      <c r="EAE5" s="152"/>
      <c r="EAF5" s="152"/>
      <c r="EAG5" s="152"/>
      <c r="EAH5" s="152"/>
      <c r="EAI5" s="152"/>
      <c r="EAJ5" s="152"/>
      <c r="EAK5" s="152"/>
      <c r="EAL5" s="152"/>
      <c r="EAM5" s="152"/>
      <c r="EAN5" s="152"/>
      <c r="EAO5" s="152"/>
      <c r="EAP5" s="152"/>
      <c r="EAQ5" s="152"/>
      <c r="EAR5" s="152"/>
      <c r="EAS5" s="152"/>
      <c r="EAT5" s="152"/>
      <c r="EAU5" s="152"/>
      <c r="EAV5" s="152"/>
      <c r="EAW5" s="152"/>
      <c r="EAX5" s="152"/>
      <c r="EAY5" s="152"/>
      <c r="EAZ5" s="152"/>
      <c r="EBA5" s="152"/>
      <c r="EBB5" s="152"/>
      <c r="EBC5" s="152"/>
      <c r="EBD5" s="152"/>
      <c r="EBE5" s="152"/>
      <c r="EBF5" s="152"/>
      <c r="EBG5" s="152"/>
      <c r="EBH5" s="152"/>
      <c r="EBI5" s="152"/>
      <c r="EBJ5" s="152"/>
      <c r="EBK5" s="152"/>
      <c r="EBL5" s="152"/>
      <c r="EBM5" s="152"/>
      <c r="EBN5" s="152"/>
      <c r="EBO5" s="152"/>
      <c r="EBP5" s="152"/>
      <c r="EBQ5" s="152"/>
      <c r="EBR5" s="152"/>
      <c r="EBS5" s="152"/>
      <c r="EBT5" s="152"/>
      <c r="EBU5" s="152"/>
      <c r="EBV5" s="152"/>
      <c r="EBW5" s="152"/>
      <c r="EBX5" s="152"/>
      <c r="EBY5" s="152"/>
      <c r="EBZ5" s="152"/>
      <c r="ECA5" s="152"/>
      <c r="ECB5" s="152"/>
      <c r="ECC5" s="152"/>
      <c r="ECD5" s="152"/>
      <c r="ECE5" s="152"/>
      <c r="ECF5" s="152"/>
      <c r="ECG5" s="152"/>
      <c r="ECH5" s="152"/>
      <c r="ECI5" s="152"/>
      <c r="ECJ5" s="152"/>
      <c r="ECK5" s="152"/>
      <c r="ECL5" s="152"/>
      <c r="ECM5" s="152"/>
      <c r="ECN5" s="152"/>
      <c r="ECO5" s="152"/>
      <c r="ECP5" s="152"/>
      <c r="ECQ5" s="152"/>
      <c r="ECR5" s="152"/>
      <c r="ECS5" s="152"/>
      <c r="ECT5" s="152"/>
      <c r="ECU5" s="152"/>
      <c r="ECV5" s="152"/>
      <c r="ECW5" s="152"/>
      <c r="ECX5" s="152"/>
      <c r="ECY5" s="152"/>
      <c r="ECZ5" s="152"/>
      <c r="EDA5" s="152"/>
      <c r="EDB5" s="152"/>
      <c r="EDC5" s="152"/>
      <c r="EDD5" s="152"/>
      <c r="EDE5" s="152"/>
      <c r="EDF5" s="152"/>
      <c r="EDG5" s="152"/>
      <c r="EDH5" s="152"/>
      <c r="EDI5" s="152"/>
      <c r="EDJ5" s="152"/>
      <c r="EDK5" s="152"/>
      <c r="EDL5" s="152"/>
      <c r="EDM5" s="152"/>
      <c r="EDN5" s="152"/>
      <c r="EDO5" s="152"/>
      <c r="EDP5" s="152"/>
      <c r="EDQ5" s="152"/>
      <c r="EDR5" s="152"/>
      <c r="EDS5" s="152"/>
      <c r="EDT5" s="152"/>
      <c r="EDU5" s="152"/>
      <c r="EDV5" s="152"/>
      <c r="EDW5" s="152"/>
      <c r="EDX5" s="152"/>
      <c r="EDY5" s="152"/>
      <c r="EDZ5" s="152"/>
      <c r="EEA5" s="152"/>
      <c r="EEB5" s="152"/>
      <c r="EEC5" s="152"/>
      <c r="EED5" s="152"/>
      <c r="EEE5" s="152"/>
      <c r="EEF5" s="152"/>
      <c r="EEG5" s="152"/>
      <c r="EEH5" s="152"/>
      <c r="EEI5" s="152"/>
      <c r="EEJ5" s="152"/>
      <c r="EEK5" s="152"/>
      <c r="EEL5" s="152"/>
      <c r="EEM5" s="152"/>
      <c r="EEN5" s="152"/>
      <c r="EEO5" s="152"/>
      <c r="EEP5" s="152"/>
      <c r="EEQ5" s="152"/>
      <c r="EER5" s="152"/>
      <c r="EES5" s="152"/>
      <c r="EET5" s="152"/>
      <c r="EEU5" s="152"/>
      <c r="EEV5" s="152"/>
      <c r="EEW5" s="152"/>
      <c r="EEX5" s="152"/>
      <c r="EEY5" s="152"/>
      <c r="EEZ5" s="152"/>
      <c r="EFA5" s="152"/>
      <c r="EFB5" s="152"/>
      <c r="EFC5" s="152"/>
      <c r="EFD5" s="152"/>
      <c r="EFE5" s="152"/>
      <c r="EFF5" s="152"/>
      <c r="EFG5" s="152"/>
      <c r="EFH5" s="152"/>
      <c r="EFI5" s="152"/>
      <c r="EFJ5" s="152"/>
      <c r="EFK5" s="152"/>
      <c r="EFL5" s="152"/>
      <c r="EFM5" s="152"/>
      <c r="EFN5" s="152"/>
      <c r="EFO5" s="152"/>
      <c r="EFP5" s="152"/>
      <c r="EFQ5" s="152"/>
      <c r="EFR5" s="152"/>
      <c r="EFS5" s="152"/>
      <c r="EFT5" s="152"/>
      <c r="EFU5" s="152"/>
      <c r="EFV5" s="152"/>
      <c r="EFW5" s="152"/>
      <c r="EFX5" s="152"/>
      <c r="EFY5" s="152"/>
      <c r="EFZ5" s="152"/>
      <c r="EGA5" s="152"/>
      <c r="EGB5" s="152"/>
      <c r="EGC5" s="152"/>
      <c r="EGD5" s="152"/>
      <c r="EGE5" s="152"/>
      <c r="EGF5" s="152"/>
      <c r="EGG5" s="152"/>
      <c r="EGH5" s="152"/>
      <c r="EGI5" s="152"/>
      <c r="EGJ5" s="152"/>
      <c r="EGK5" s="152"/>
      <c r="EGL5" s="152"/>
      <c r="EGM5" s="152"/>
      <c r="EGN5" s="152"/>
      <c r="EGO5" s="152"/>
      <c r="EGP5" s="152"/>
      <c r="EGQ5" s="152"/>
      <c r="EGR5" s="152"/>
      <c r="EGS5" s="152"/>
      <c r="EGT5" s="152"/>
      <c r="EGU5" s="152"/>
      <c r="EGV5" s="152"/>
      <c r="EGW5" s="152"/>
      <c r="EGX5" s="152"/>
      <c r="EGY5" s="152"/>
      <c r="EGZ5" s="152"/>
      <c r="EHA5" s="152"/>
      <c r="EHB5" s="152"/>
      <c r="EHC5" s="152"/>
      <c r="EHD5" s="152"/>
      <c r="EHE5" s="152"/>
      <c r="EHF5" s="152"/>
      <c r="EHG5" s="152"/>
      <c r="EHH5" s="152"/>
      <c r="EHI5" s="152"/>
      <c r="EHJ5" s="152"/>
      <c r="EHK5" s="152"/>
      <c r="EHL5" s="152"/>
      <c r="EHM5" s="152"/>
      <c r="EHN5" s="152"/>
      <c r="EHO5" s="152"/>
      <c r="EHP5" s="152"/>
      <c r="EHQ5" s="152"/>
      <c r="EHR5" s="152"/>
      <c r="EHS5" s="152"/>
      <c r="EHT5" s="152"/>
      <c r="EHU5" s="152"/>
      <c r="EHV5" s="152"/>
      <c r="EHW5" s="152"/>
      <c r="EHX5" s="152"/>
      <c r="EHY5" s="152"/>
      <c r="EHZ5" s="152"/>
      <c r="EIA5" s="152"/>
      <c r="EIB5" s="152"/>
      <c r="EIC5" s="152"/>
      <c r="EID5" s="152"/>
      <c r="EIE5" s="152"/>
      <c r="EIF5" s="152"/>
      <c r="EIG5" s="152"/>
      <c r="EIH5" s="152"/>
      <c r="EII5" s="152"/>
      <c r="EIJ5" s="152"/>
      <c r="EIK5" s="152"/>
      <c r="EIL5" s="152"/>
      <c r="EIM5" s="152"/>
      <c r="EIN5" s="152"/>
      <c r="EIO5" s="152"/>
      <c r="EIP5" s="152"/>
      <c r="EIQ5" s="152"/>
      <c r="EIR5" s="152"/>
      <c r="EIS5" s="152"/>
      <c r="EIT5" s="152"/>
      <c r="EIU5" s="152"/>
      <c r="EIV5" s="152"/>
      <c r="EIW5" s="152"/>
      <c r="EIX5" s="152"/>
      <c r="EIY5" s="152"/>
      <c r="EIZ5" s="152"/>
      <c r="EJA5" s="152"/>
      <c r="EJB5" s="152"/>
      <c r="EJC5" s="152"/>
      <c r="EJD5" s="152"/>
      <c r="EJE5" s="152"/>
      <c r="EJF5" s="152"/>
      <c r="EJG5" s="152"/>
      <c r="EJH5" s="152"/>
      <c r="EJI5" s="152"/>
      <c r="EJJ5" s="152"/>
      <c r="EJK5" s="152"/>
      <c r="EJL5" s="152"/>
      <c r="EJM5" s="152"/>
      <c r="EJN5" s="152"/>
      <c r="EJO5" s="152"/>
      <c r="EJP5" s="152"/>
      <c r="EJQ5" s="152"/>
      <c r="EJR5" s="152"/>
      <c r="EJS5" s="152"/>
      <c r="EJT5" s="152"/>
      <c r="EJU5" s="152"/>
      <c r="EJV5" s="152"/>
      <c r="EJW5" s="152"/>
      <c r="EJX5" s="152"/>
      <c r="EJY5" s="152"/>
      <c r="EJZ5" s="152"/>
      <c r="EKA5" s="152"/>
      <c r="EKB5" s="152"/>
      <c r="EKC5" s="152"/>
      <c r="EKD5" s="152"/>
      <c r="EKE5" s="152"/>
      <c r="EKF5" s="152"/>
      <c r="EKG5" s="152"/>
      <c r="EKH5" s="152"/>
      <c r="EKI5" s="152"/>
      <c r="EKJ5" s="152"/>
      <c r="EKK5" s="152"/>
      <c r="EKL5" s="152"/>
      <c r="EKM5" s="152"/>
      <c r="EKN5" s="152"/>
      <c r="EKO5" s="152"/>
      <c r="EKP5" s="152"/>
      <c r="EKQ5" s="152"/>
      <c r="EKR5" s="152"/>
      <c r="EKS5" s="152"/>
      <c r="EKT5" s="152"/>
      <c r="EKU5" s="152"/>
      <c r="EKV5" s="152"/>
      <c r="EKW5" s="152"/>
      <c r="EKX5" s="152"/>
      <c r="EKY5" s="152"/>
      <c r="EKZ5" s="152"/>
      <c r="ELA5" s="152"/>
      <c r="ELB5" s="152"/>
      <c r="ELC5" s="152"/>
      <c r="ELD5" s="152"/>
      <c r="ELE5" s="152"/>
      <c r="ELF5" s="152"/>
      <c r="ELG5" s="152"/>
      <c r="ELH5" s="152"/>
      <c r="ELI5" s="152"/>
      <c r="ELJ5" s="152"/>
      <c r="ELK5" s="152"/>
      <c r="ELL5" s="152"/>
      <c r="ELM5" s="152"/>
      <c r="ELN5" s="152"/>
      <c r="ELO5" s="152"/>
      <c r="ELP5" s="152"/>
      <c r="ELQ5" s="152"/>
      <c r="ELR5" s="152"/>
      <c r="ELS5" s="152"/>
      <c r="ELT5" s="152"/>
      <c r="ELU5" s="152"/>
      <c r="ELV5" s="152"/>
      <c r="ELW5" s="152"/>
      <c r="ELX5" s="152"/>
      <c r="ELY5" s="152"/>
      <c r="ELZ5" s="152"/>
      <c r="EMA5" s="152"/>
      <c r="EMB5" s="152"/>
      <c r="EMC5" s="152"/>
      <c r="EMD5" s="152"/>
      <c r="EME5" s="152"/>
      <c r="EMF5" s="152"/>
      <c r="EMG5" s="152"/>
      <c r="EMH5" s="152"/>
      <c r="EMI5" s="152"/>
      <c r="EMJ5" s="152"/>
      <c r="EMK5" s="152"/>
      <c r="EML5" s="152"/>
      <c r="EMM5" s="152"/>
      <c r="EMN5" s="152"/>
      <c r="EMO5" s="152"/>
      <c r="EMP5" s="152"/>
      <c r="EMQ5" s="152"/>
      <c r="EMR5" s="152"/>
      <c r="EMS5" s="152"/>
      <c r="EMT5" s="152"/>
      <c r="EMU5" s="152"/>
      <c r="EMV5" s="152"/>
      <c r="EMW5" s="152"/>
      <c r="EMX5" s="152"/>
      <c r="EMY5" s="152"/>
      <c r="EMZ5" s="152"/>
      <c r="ENA5" s="152"/>
      <c r="ENB5" s="152"/>
      <c r="ENC5" s="152"/>
      <c r="END5" s="152"/>
      <c r="ENE5" s="152"/>
      <c r="ENF5" s="152"/>
      <c r="ENG5" s="152"/>
      <c r="ENH5" s="152"/>
      <c r="ENI5" s="152"/>
      <c r="ENJ5" s="152"/>
      <c r="ENK5" s="152"/>
      <c r="ENL5" s="152"/>
      <c r="ENM5" s="152"/>
      <c r="ENN5" s="152"/>
      <c r="ENO5" s="152"/>
      <c r="ENP5" s="152"/>
      <c r="ENQ5" s="152"/>
      <c r="ENR5" s="152"/>
      <c r="ENS5" s="152"/>
      <c r="ENT5" s="152"/>
      <c r="ENU5" s="152"/>
      <c r="ENV5" s="152"/>
      <c r="ENW5" s="152"/>
      <c r="ENX5" s="152"/>
      <c r="ENY5" s="152"/>
      <c r="ENZ5" s="152"/>
      <c r="EOA5" s="152"/>
      <c r="EOB5" s="152"/>
      <c r="EOC5" s="152"/>
      <c r="EOD5" s="152"/>
      <c r="EOE5" s="152"/>
      <c r="EOF5" s="152"/>
      <c r="EOG5" s="152"/>
      <c r="EOH5" s="152"/>
      <c r="EOI5" s="152"/>
      <c r="EOJ5" s="152"/>
      <c r="EOK5" s="152"/>
      <c r="EOL5" s="152"/>
      <c r="EOM5" s="152"/>
      <c r="EON5" s="152"/>
      <c r="EOO5" s="152"/>
      <c r="EOP5" s="152"/>
      <c r="EOQ5" s="152"/>
      <c r="EOR5" s="152"/>
      <c r="EOS5" s="152"/>
      <c r="EOT5" s="152"/>
      <c r="EOU5" s="152"/>
      <c r="EOV5" s="152"/>
      <c r="EOW5" s="152"/>
      <c r="EOX5" s="152"/>
      <c r="EOY5" s="152"/>
      <c r="EOZ5" s="152"/>
      <c r="EPA5" s="152"/>
      <c r="EPB5" s="152"/>
      <c r="EPC5" s="152"/>
      <c r="EPD5" s="152"/>
      <c r="EPE5" s="152"/>
      <c r="EPF5" s="152"/>
      <c r="EPG5" s="152"/>
      <c r="EPH5" s="152"/>
      <c r="EPI5" s="152"/>
      <c r="EPJ5" s="152"/>
      <c r="EPK5" s="152"/>
      <c r="EPL5" s="152"/>
      <c r="EPM5" s="152"/>
      <c r="EPN5" s="152"/>
      <c r="EPO5" s="152"/>
      <c r="EPP5" s="152"/>
      <c r="EPQ5" s="152"/>
      <c r="EPR5" s="152"/>
      <c r="EPS5" s="152"/>
      <c r="EPT5" s="152"/>
      <c r="EPU5" s="152"/>
      <c r="EPV5" s="152"/>
      <c r="EPW5" s="152"/>
      <c r="EPX5" s="152"/>
      <c r="EPY5" s="152"/>
      <c r="EPZ5" s="152"/>
      <c r="EQA5" s="152"/>
      <c r="EQB5" s="152"/>
      <c r="EQC5" s="152"/>
      <c r="EQD5" s="152"/>
      <c r="EQE5" s="152"/>
      <c r="EQF5" s="152"/>
      <c r="EQG5" s="152"/>
      <c r="EQH5" s="152"/>
      <c r="EQI5" s="152"/>
      <c r="EQJ5" s="152"/>
      <c r="EQK5" s="152"/>
      <c r="EQL5" s="152"/>
      <c r="EQM5" s="152"/>
      <c r="EQN5" s="152"/>
      <c r="EQO5" s="152"/>
      <c r="EQP5" s="152"/>
      <c r="EQQ5" s="152"/>
      <c r="EQR5" s="152"/>
      <c r="EQS5" s="152"/>
      <c r="EQT5" s="152"/>
      <c r="EQU5" s="152"/>
      <c r="EQV5" s="152"/>
      <c r="EQW5" s="152"/>
      <c r="EQX5" s="152"/>
      <c r="EQY5" s="152"/>
      <c r="EQZ5" s="152"/>
      <c r="ERA5" s="152"/>
      <c r="ERB5" s="152"/>
      <c r="ERC5" s="152"/>
      <c r="ERD5" s="152"/>
      <c r="ERE5" s="152"/>
      <c r="ERF5" s="152"/>
      <c r="ERG5" s="152"/>
      <c r="ERH5" s="152"/>
      <c r="ERI5" s="152"/>
      <c r="ERJ5" s="152"/>
      <c r="ERK5" s="152"/>
      <c r="ERL5" s="152"/>
      <c r="ERM5" s="152"/>
      <c r="ERN5" s="152"/>
      <c r="ERO5" s="152"/>
      <c r="ERP5" s="152"/>
      <c r="ERQ5" s="152"/>
      <c r="ERR5" s="152"/>
      <c r="ERS5" s="152"/>
      <c r="ERT5" s="152"/>
      <c r="ERU5" s="152"/>
      <c r="ERV5" s="152"/>
      <c r="ERW5" s="152"/>
      <c r="ERX5" s="152"/>
      <c r="ERY5" s="152"/>
      <c r="ERZ5" s="152"/>
      <c r="ESA5" s="152"/>
      <c r="ESB5" s="152"/>
      <c r="ESC5" s="152"/>
      <c r="ESD5" s="152"/>
      <c r="ESE5" s="152"/>
      <c r="ESF5" s="152"/>
      <c r="ESG5" s="152"/>
      <c r="ESH5" s="152"/>
      <c r="ESI5" s="152"/>
      <c r="ESJ5" s="152"/>
      <c r="ESK5" s="152"/>
      <c r="ESL5" s="152"/>
      <c r="ESM5" s="152"/>
      <c r="ESN5" s="152"/>
      <c r="ESO5" s="152"/>
      <c r="ESP5" s="152"/>
      <c r="ESQ5" s="152"/>
      <c r="ESR5" s="152"/>
      <c r="ESS5" s="152"/>
      <c r="EST5" s="152"/>
      <c r="ESU5" s="152"/>
      <c r="ESV5" s="152"/>
      <c r="ESW5" s="152"/>
      <c r="ESX5" s="152"/>
      <c r="ESY5" s="152"/>
      <c r="ESZ5" s="152"/>
      <c r="ETA5" s="152"/>
      <c r="ETB5" s="152"/>
      <c r="ETC5" s="152"/>
      <c r="ETD5" s="152"/>
      <c r="ETE5" s="152"/>
      <c r="ETF5" s="152"/>
      <c r="ETG5" s="152"/>
      <c r="ETH5" s="152"/>
      <c r="ETI5" s="152"/>
      <c r="ETJ5" s="152"/>
      <c r="ETK5" s="152"/>
      <c r="ETL5" s="152"/>
      <c r="ETM5" s="152"/>
      <c r="ETN5" s="152"/>
      <c r="ETO5" s="152"/>
      <c r="ETP5" s="152"/>
      <c r="ETQ5" s="152"/>
      <c r="ETR5" s="152"/>
      <c r="ETS5" s="152"/>
      <c r="ETT5" s="152"/>
      <c r="ETU5" s="152"/>
      <c r="ETV5" s="152"/>
      <c r="ETW5" s="152"/>
      <c r="ETX5" s="152"/>
      <c r="ETY5" s="152"/>
      <c r="ETZ5" s="152"/>
      <c r="EUA5" s="152"/>
      <c r="EUB5" s="152"/>
      <c r="EUC5" s="152"/>
      <c r="EUD5" s="152"/>
      <c r="EUE5" s="152"/>
      <c r="EUF5" s="152"/>
      <c r="EUG5" s="152"/>
      <c r="EUH5" s="152"/>
      <c r="EUI5" s="152"/>
      <c r="EUJ5" s="152"/>
      <c r="EUK5" s="152"/>
      <c r="EUL5" s="152"/>
      <c r="EUM5" s="152"/>
      <c r="EUN5" s="152"/>
      <c r="EUO5" s="152"/>
      <c r="EUP5" s="152"/>
      <c r="EUQ5" s="152"/>
      <c r="EUR5" s="152"/>
      <c r="EUS5" s="152"/>
      <c r="EUT5" s="152"/>
      <c r="EUU5" s="152"/>
      <c r="EUV5" s="152"/>
      <c r="EUW5" s="152"/>
      <c r="EUX5" s="152"/>
      <c r="EUY5" s="152"/>
      <c r="EUZ5" s="152"/>
      <c r="EVA5" s="152"/>
      <c r="EVB5" s="152"/>
      <c r="EVC5" s="152"/>
      <c r="EVD5" s="152"/>
      <c r="EVE5" s="152"/>
      <c r="EVF5" s="152"/>
      <c r="EVG5" s="152"/>
      <c r="EVH5" s="152"/>
      <c r="EVI5" s="152"/>
      <c r="EVJ5" s="152"/>
      <c r="EVK5" s="152"/>
      <c r="EVL5" s="152"/>
      <c r="EVM5" s="152"/>
      <c r="EVN5" s="152"/>
      <c r="EVO5" s="152"/>
      <c r="EVP5" s="152"/>
      <c r="EVQ5" s="152"/>
      <c r="EVR5" s="152"/>
      <c r="EVS5" s="152"/>
      <c r="EVT5" s="152"/>
      <c r="EVU5" s="152"/>
      <c r="EVV5" s="152"/>
      <c r="EVW5" s="152"/>
      <c r="EVX5" s="152"/>
      <c r="EVY5" s="152"/>
      <c r="EVZ5" s="152"/>
      <c r="EWA5" s="152"/>
      <c r="EWB5" s="152"/>
      <c r="EWC5" s="152"/>
      <c r="EWD5" s="152"/>
      <c r="EWE5" s="152"/>
      <c r="EWF5" s="152"/>
      <c r="EWG5" s="152"/>
      <c r="EWH5" s="152"/>
      <c r="EWI5" s="152"/>
      <c r="EWJ5" s="152"/>
      <c r="EWK5" s="152"/>
      <c r="EWL5" s="152"/>
      <c r="EWM5" s="152"/>
      <c r="EWN5" s="152"/>
      <c r="EWO5" s="152"/>
      <c r="EWP5" s="152"/>
      <c r="EWQ5" s="152"/>
      <c r="EWR5" s="152"/>
      <c r="EWS5" s="152"/>
      <c r="EWT5" s="152"/>
      <c r="EWU5" s="152"/>
      <c r="EWV5" s="152"/>
      <c r="EWW5" s="152"/>
      <c r="EWX5" s="152"/>
      <c r="EWY5" s="152"/>
      <c r="EWZ5" s="152"/>
      <c r="EXA5" s="152"/>
      <c r="EXB5" s="152"/>
      <c r="EXC5" s="152"/>
      <c r="EXD5" s="152"/>
      <c r="EXE5" s="152"/>
      <c r="EXF5" s="152"/>
      <c r="EXG5" s="152"/>
      <c r="EXH5" s="152"/>
      <c r="EXI5" s="152"/>
      <c r="EXJ5" s="152"/>
      <c r="EXK5" s="152"/>
      <c r="EXL5" s="152"/>
      <c r="EXM5" s="152"/>
      <c r="EXN5" s="152"/>
      <c r="EXO5" s="152"/>
      <c r="EXP5" s="152"/>
      <c r="EXQ5" s="152"/>
      <c r="EXR5" s="152"/>
      <c r="EXS5" s="152"/>
      <c r="EXT5" s="152"/>
      <c r="EXU5" s="152"/>
      <c r="EXV5" s="152"/>
      <c r="EXW5" s="152"/>
      <c r="EXX5" s="152"/>
      <c r="EXY5" s="152"/>
      <c r="EXZ5" s="152"/>
      <c r="EYA5" s="152"/>
      <c r="EYB5" s="152"/>
      <c r="EYC5" s="152"/>
      <c r="EYD5" s="152"/>
      <c r="EYE5" s="152"/>
      <c r="EYF5" s="152"/>
      <c r="EYG5" s="152"/>
      <c r="EYH5" s="152"/>
      <c r="EYI5" s="152"/>
      <c r="EYJ5" s="152"/>
      <c r="EYK5" s="152"/>
      <c r="EYL5" s="152"/>
      <c r="EYM5" s="152"/>
      <c r="EYN5" s="152"/>
      <c r="EYO5" s="152"/>
      <c r="EYP5" s="152"/>
      <c r="EYQ5" s="152"/>
      <c r="EYR5" s="152"/>
      <c r="EYS5" s="152"/>
      <c r="EYT5" s="152"/>
      <c r="EYU5" s="152"/>
      <c r="EYV5" s="152"/>
      <c r="EYW5" s="152"/>
      <c r="EYX5" s="152"/>
      <c r="EYY5" s="152"/>
      <c r="EYZ5" s="152"/>
      <c r="EZA5" s="152"/>
      <c r="EZB5" s="152"/>
      <c r="EZC5" s="152"/>
      <c r="EZD5" s="152"/>
      <c r="EZE5" s="152"/>
      <c r="EZF5" s="152"/>
      <c r="EZG5" s="152"/>
      <c r="EZH5" s="152"/>
      <c r="EZI5" s="152"/>
      <c r="EZJ5" s="152"/>
      <c r="EZK5" s="152"/>
      <c r="EZL5" s="152"/>
      <c r="EZM5" s="152"/>
      <c r="EZN5" s="152"/>
      <c r="EZO5" s="152"/>
      <c r="EZP5" s="152"/>
      <c r="EZQ5" s="152"/>
      <c r="EZR5" s="152"/>
      <c r="EZS5" s="152"/>
      <c r="EZT5" s="152"/>
      <c r="EZU5" s="152"/>
      <c r="EZV5" s="152"/>
      <c r="EZW5" s="152"/>
      <c r="EZX5" s="152"/>
      <c r="EZY5" s="152"/>
      <c r="EZZ5" s="152"/>
      <c r="FAA5" s="152"/>
      <c r="FAB5" s="152"/>
      <c r="FAC5" s="152"/>
      <c r="FAD5" s="152"/>
      <c r="FAE5" s="152"/>
      <c r="FAF5" s="152"/>
      <c r="FAG5" s="152"/>
      <c r="FAH5" s="152"/>
      <c r="FAI5" s="152"/>
      <c r="FAJ5" s="152"/>
      <c r="FAK5" s="152"/>
      <c r="FAL5" s="152"/>
      <c r="FAM5" s="152"/>
      <c r="FAN5" s="152"/>
      <c r="FAO5" s="152"/>
      <c r="FAP5" s="152"/>
      <c r="FAQ5" s="152"/>
      <c r="FAR5" s="152"/>
      <c r="FAS5" s="152"/>
      <c r="FAT5" s="152"/>
      <c r="FAU5" s="152"/>
      <c r="FAV5" s="152"/>
      <c r="FAW5" s="152"/>
      <c r="FAX5" s="152"/>
      <c r="FAY5" s="152"/>
      <c r="FAZ5" s="152"/>
      <c r="FBA5" s="152"/>
      <c r="FBB5" s="152"/>
      <c r="FBC5" s="152"/>
      <c r="FBD5" s="152"/>
      <c r="FBE5" s="152"/>
      <c r="FBF5" s="152"/>
      <c r="FBG5" s="152"/>
      <c r="FBH5" s="152"/>
      <c r="FBI5" s="152"/>
      <c r="FBJ5" s="152"/>
      <c r="FBK5" s="152"/>
      <c r="FBL5" s="152"/>
      <c r="FBM5" s="152"/>
      <c r="FBN5" s="152"/>
      <c r="FBO5" s="152"/>
      <c r="FBP5" s="152"/>
      <c r="FBQ5" s="152"/>
      <c r="FBR5" s="152"/>
      <c r="FBS5" s="152"/>
      <c r="FBT5" s="152"/>
      <c r="FBU5" s="152"/>
      <c r="FBV5" s="152"/>
      <c r="FBW5" s="152"/>
      <c r="FBX5" s="152"/>
      <c r="FBY5" s="152"/>
      <c r="FBZ5" s="152"/>
      <c r="FCA5" s="152"/>
      <c r="FCB5" s="152"/>
      <c r="FCC5" s="152"/>
      <c r="FCD5" s="152"/>
      <c r="FCE5" s="152"/>
      <c r="FCF5" s="152"/>
      <c r="FCG5" s="152"/>
      <c r="FCH5" s="152"/>
      <c r="FCI5" s="152"/>
      <c r="FCJ5" s="152"/>
      <c r="FCK5" s="152"/>
      <c r="FCL5" s="152"/>
      <c r="FCM5" s="152"/>
      <c r="FCN5" s="152"/>
      <c r="FCO5" s="152"/>
      <c r="FCP5" s="152"/>
      <c r="FCQ5" s="152"/>
      <c r="FCR5" s="152"/>
      <c r="FCS5" s="152"/>
      <c r="FCT5" s="152"/>
      <c r="FCU5" s="152"/>
      <c r="FCV5" s="152"/>
      <c r="FCW5" s="152"/>
      <c r="FCX5" s="152"/>
      <c r="FCY5" s="152"/>
      <c r="FCZ5" s="152"/>
      <c r="FDA5" s="152"/>
      <c r="FDB5" s="152"/>
      <c r="FDC5" s="152"/>
      <c r="FDD5" s="152"/>
      <c r="FDE5" s="152"/>
      <c r="FDF5" s="152"/>
      <c r="FDG5" s="152"/>
      <c r="FDH5" s="152"/>
      <c r="FDI5" s="152"/>
      <c r="FDJ5" s="152"/>
      <c r="FDK5" s="152"/>
      <c r="FDL5" s="152"/>
      <c r="FDM5" s="152"/>
      <c r="FDN5" s="152"/>
      <c r="FDO5" s="152"/>
      <c r="FDP5" s="152"/>
      <c r="FDQ5" s="152"/>
      <c r="FDR5" s="152"/>
      <c r="FDS5" s="152"/>
      <c r="FDT5" s="152"/>
      <c r="FDU5" s="152"/>
      <c r="FDV5" s="152"/>
      <c r="FDW5" s="152"/>
      <c r="FDX5" s="152"/>
      <c r="FDY5" s="152"/>
      <c r="FDZ5" s="152"/>
      <c r="FEA5" s="152"/>
      <c r="FEB5" s="152"/>
      <c r="FEC5" s="152"/>
      <c r="FED5" s="152"/>
      <c r="FEE5" s="152"/>
      <c r="FEF5" s="152"/>
      <c r="FEG5" s="152"/>
      <c r="FEH5" s="152"/>
      <c r="FEI5" s="152"/>
      <c r="FEJ5" s="152"/>
      <c r="FEK5" s="152"/>
      <c r="FEL5" s="152"/>
      <c r="FEM5" s="152"/>
      <c r="FEN5" s="152"/>
      <c r="FEO5" s="152"/>
      <c r="FEP5" s="152"/>
      <c r="FEQ5" s="152"/>
      <c r="FER5" s="152"/>
      <c r="FES5" s="152"/>
      <c r="FET5" s="152"/>
      <c r="FEU5" s="152"/>
      <c r="FEV5" s="152"/>
      <c r="FEW5" s="152"/>
      <c r="FEX5" s="152"/>
      <c r="FEY5" s="152"/>
      <c r="FEZ5" s="152"/>
      <c r="FFA5" s="152"/>
      <c r="FFB5" s="152"/>
      <c r="FFC5" s="152"/>
      <c r="FFD5" s="152"/>
      <c r="FFE5" s="152"/>
      <c r="FFF5" s="152"/>
      <c r="FFG5" s="152"/>
      <c r="FFH5" s="152"/>
      <c r="FFI5" s="152"/>
      <c r="FFJ5" s="152"/>
      <c r="FFK5" s="152"/>
      <c r="FFL5" s="152"/>
      <c r="FFM5" s="152"/>
      <c r="FFN5" s="152"/>
      <c r="FFO5" s="152"/>
      <c r="FFP5" s="152"/>
      <c r="FFQ5" s="152"/>
      <c r="FFR5" s="152"/>
      <c r="FFS5" s="152"/>
      <c r="FFT5" s="152"/>
      <c r="FFU5" s="152"/>
      <c r="FFV5" s="152"/>
      <c r="FFW5" s="152"/>
      <c r="FFX5" s="152"/>
      <c r="FFY5" s="152"/>
      <c r="FFZ5" s="152"/>
      <c r="FGA5" s="152"/>
      <c r="FGB5" s="152"/>
      <c r="FGC5" s="152"/>
      <c r="FGD5" s="152"/>
      <c r="FGE5" s="152"/>
      <c r="FGF5" s="152"/>
      <c r="FGG5" s="152"/>
      <c r="FGH5" s="152"/>
      <c r="FGI5" s="152"/>
      <c r="FGJ5" s="152"/>
      <c r="FGK5" s="152"/>
      <c r="FGL5" s="152"/>
      <c r="FGM5" s="152"/>
      <c r="FGN5" s="152"/>
      <c r="FGO5" s="152"/>
      <c r="FGP5" s="152"/>
      <c r="FGQ5" s="152"/>
      <c r="FGR5" s="152"/>
      <c r="FGS5" s="152"/>
      <c r="FGT5" s="152"/>
      <c r="FGU5" s="152"/>
      <c r="FGV5" s="152"/>
      <c r="FGW5" s="152"/>
      <c r="FGX5" s="152"/>
      <c r="FGY5" s="152"/>
      <c r="FGZ5" s="152"/>
      <c r="FHA5" s="152"/>
      <c r="FHB5" s="152"/>
      <c r="FHC5" s="152"/>
      <c r="FHD5" s="152"/>
      <c r="FHE5" s="152"/>
      <c r="FHF5" s="152"/>
      <c r="FHG5" s="152"/>
      <c r="FHH5" s="152"/>
      <c r="FHI5" s="152"/>
      <c r="FHJ5" s="152"/>
      <c r="FHK5" s="152"/>
      <c r="FHL5" s="152"/>
      <c r="FHM5" s="152"/>
      <c r="FHN5" s="152"/>
      <c r="FHO5" s="152"/>
      <c r="FHP5" s="152"/>
      <c r="FHQ5" s="152"/>
      <c r="FHR5" s="152"/>
      <c r="FHS5" s="152"/>
      <c r="FHT5" s="152"/>
      <c r="FHU5" s="152"/>
      <c r="FHV5" s="152"/>
      <c r="FHW5" s="152"/>
      <c r="FHX5" s="152"/>
      <c r="FHY5" s="152"/>
      <c r="FHZ5" s="152"/>
      <c r="FIA5" s="152"/>
      <c r="FIB5" s="152"/>
      <c r="FIC5" s="152"/>
      <c r="FID5" s="152"/>
      <c r="FIE5" s="152"/>
      <c r="FIF5" s="152"/>
      <c r="FIG5" s="152"/>
      <c r="FIH5" s="152"/>
      <c r="FII5" s="152"/>
      <c r="FIJ5" s="152"/>
      <c r="FIK5" s="152"/>
      <c r="FIL5" s="152"/>
      <c r="FIM5" s="152"/>
      <c r="FIN5" s="152"/>
      <c r="FIO5" s="152"/>
      <c r="FIP5" s="152"/>
      <c r="FIQ5" s="152"/>
      <c r="FIR5" s="152"/>
      <c r="FIS5" s="152"/>
      <c r="FIT5" s="152"/>
      <c r="FIU5" s="152"/>
      <c r="FIV5" s="152"/>
      <c r="FIW5" s="152"/>
      <c r="FIX5" s="152"/>
      <c r="FIY5" s="152"/>
      <c r="FIZ5" s="152"/>
      <c r="FJA5" s="152"/>
      <c r="FJB5" s="152"/>
      <c r="FJC5" s="152"/>
      <c r="FJD5" s="152"/>
      <c r="FJE5" s="152"/>
      <c r="FJF5" s="152"/>
      <c r="FJG5" s="152"/>
      <c r="FJH5" s="152"/>
      <c r="FJI5" s="152"/>
      <c r="FJJ5" s="152"/>
      <c r="FJK5" s="152"/>
      <c r="FJL5" s="152"/>
      <c r="FJM5" s="152"/>
      <c r="FJN5" s="152"/>
      <c r="FJO5" s="152"/>
      <c r="FJP5" s="152"/>
      <c r="FJQ5" s="152"/>
      <c r="FJR5" s="152"/>
      <c r="FJS5" s="152"/>
      <c r="FJT5" s="152"/>
      <c r="FJU5" s="152"/>
      <c r="FJV5" s="152"/>
      <c r="FJW5" s="152"/>
      <c r="FJX5" s="152"/>
      <c r="FJY5" s="152"/>
      <c r="FJZ5" s="152"/>
      <c r="FKA5" s="152"/>
      <c r="FKB5" s="152"/>
      <c r="FKC5" s="152"/>
      <c r="FKD5" s="152"/>
      <c r="FKE5" s="152"/>
      <c r="FKF5" s="152"/>
      <c r="FKG5" s="152"/>
      <c r="FKH5" s="152"/>
      <c r="FKI5" s="152"/>
      <c r="FKJ5" s="152"/>
      <c r="FKK5" s="152"/>
      <c r="FKL5" s="152"/>
      <c r="FKM5" s="152"/>
      <c r="FKN5" s="152"/>
      <c r="FKO5" s="152"/>
      <c r="FKP5" s="152"/>
      <c r="FKQ5" s="152"/>
      <c r="FKR5" s="152"/>
      <c r="FKS5" s="152"/>
      <c r="FKT5" s="152"/>
      <c r="FKU5" s="152"/>
      <c r="FKV5" s="152"/>
      <c r="FKW5" s="152"/>
      <c r="FKX5" s="152"/>
      <c r="FKY5" s="152"/>
      <c r="FKZ5" s="152"/>
      <c r="FLA5" s="152"/>
      <c r="FLB5" s="152"/>
      <c r="FLC5" s="152"/>
      <c r="FLD5" s="152"/>
      <c r="FLE5" s="152"/>
      <c r="FLF5" s="152"/>
      <c r="FLG5" s="152"/>
      <c r="FLH5" s="152"/>
      <c r="FLI5" s="152"/>
      <c r="FLJ5" s="152"/>
      <c r="FLK5" s="152"/>
      <c r="FLL5" s="152"/>
      <c r="FLM5" s="152"/>
      <c r="FLN5" s="152"/>
      <c r="FLO5" s="152"/>
      <c r="FLP5" s="152"/>
      <c r="FLQ5" s="152"/>
      <c r="FLR5" s="152"/>
      <c r="FLS5" s="152"/>
      <c r="FLT5" s="152"/>
      <c r="FLU5" s="152"/>
      <c r="FLV5" s="152"/>
      <c r="FLW5" s="152"/>
      <c r="FLX5" s="152"/>
      <c r="FLY5" s="152"/>
      <c r="FLZ5" s="152"/>
      <c r="FMA5" s="152"/>
      <c r="FMB5" s="152"/>
      <c r="FMC5" s="152"/>
      <c r="FMD5" s="152"/>
      <c r="FME5" s="152"/>
      <c r="FMF5" s="152"/>
      <c r="FMG5" s="152"/>
      <c r="FMH5" s="152"/>
      <c r="FMI5" s="152"/>
      <c r="FMJ5" s="152"/>
      <c r="FMK5" s="152"/>
      <c r="FML5" s="152"/>
      <c r="FMM5" s="152"/>
      <c r="FMN5" s="152"/>
      <c r="FMO5" s="152"/>
      <c r="FMP5" s="152"/>
      <c r="FMQ5" s="152"/>
      <c r="FMR5" s="152"/>
      <c r="FMS5" s="152"/>
      <c r="FMT5" s="152"/>
      <c r="FMU5" s="152"/>
      <c r="FMV5" s="152"/>
      <c r="FMW5" s="152"/>
      <c r="FMX5" s="152"/>
      <c r="FMY5" s="152"/>
      <c r="FMZ5" s="152"/>
      <c r="FNA5" s="152"/>
      <c r="FNB5" s="152"/>
      <c r="FNC5" s="152"/>
      <c r="FND5" s="152"/>
      <c r="FNE5" s="152"/>
      <c r="FNF5" s="152"/>
      <c r="FNG5" s="152"/>
      <c r="FNH5" s="152"/>
      <c r="FNI5" s="152"/>
      <c r="FNJ5" s="152"/>
      <c r="FNK5" s="152"/>
      <c r="FNL5" s="152"/>
      <c r="FNM5" s="152"/>
      <c r="FNN5" s="152"/>
      <c r="FNO5" s="152"/>
      <c r="FNP5" s="152"/>
      <c r="FNQ5" s="152"/>
      <c r="FNR5" s="152"/>
      <c r="FNS5" s="152"/>
      <c r="FNT5" s="152"/>
      <c r="FNU5" s="152"/>
      <c r="FNV5" s="152"/>
      <c r="FNW5" s="152"/>
      <c r="FNX5" s="152"/>
      <c r="FNY5" s="152"/>
      <c r="FNZ5" s="152"/>
      <c r="FOA5" s="152"/>
      <c r="FOB5" s="152"/>
      <c r="FOC5" s="152"/>
      <c r="FOD5" s="152"/>
      <c r="FOE5" s="152"/>
      <c r="FOF5" s="152"/>
      <c r="FOG5" s="152"/>
      <c r="FOH5" s="152"/>
      <c r="FOI5" s="152"/>
      <c r="FOJ5" s="152"/>
      <c r="FOK5" s="152"/>
      <c r="FOL5" s="152"/>
      <c r="FOM5" s="152"/>
      <c r="FON5" s="152"/>
      <c r="FOO5" s="152"/>
      <c r="FOP5" s="152"/>
      <c r="FOQ5" s="152"/>
      <c r="FOR5" s="152"/>
      <c r="FOS5" s="152"/>
      <c r="FOT5" s="152"/>
      <c r="FOU5" s="152"/>
      <c r="FOV5" s="152"/>
      <c r="FOW5" s="152"/>
      <c r="FOX5" s="152"/>
      <c r="FOY5" s="152"/>
      <c r="FOZ5" s="152"/>
      <c r="FPA5" s="152"/>
      <c r="FPB5" s="152"/>
      <c r="FPC5" s="152"/>
      <c r="FPD5" s="152"/>
      <c r="FPE5" s="152"/>
      <c r="FPF5" s="152"/>
      <c r="FPG5" s="152"/>
      <c r="FPH5" s="152"/>
      <c r="FPI5" s="152"/>
      <c r="FPJ5" s="152"/>
      <c r="FPK5" s="152"/>
      <c r="FPL5" s="152"/>
      <c r="FPM5" s="152"/>
      <c r="FPN5" s="152"/>
      <c r="FPO5" s="152"/>
      <c r="FPP5" s="152"/>
      <c r="FPQ5" s="152"/>
      <c r="FPR5" s="152"/>
      <c r="FPS5" s="152"/>
      <c r="FPT5" s="152"/>
      <c r="FPU5" s="152"/>
      <c r="FPV5" s="152"/>
      <c r="FPW5" s="152"/>
      <c r="FPX5" s="152"/>
      <c r="FPY5" s="152"/>
      <c r="FPZ5" s="152"/>
      <c r="FQA5" s="152"/>
      <c r="FQB5" s="152"/>
      <c r="FQC5" s="152"/>
      <c r="FQD5" s="152"/>
      <c r="FQE5" s="152"/>
      <c r="FQF5" s="152"/>
      <c r="FQG5" s="152"/>
      <c r="FQH5" s="152"/>
      <c r="FQI5" s="152"/>
      <c r="FQJ5" s="152"/>
      <c r="FQK5" s="152"/>
      <c r="FQL5" s="152"/>
      <c r="FQM5" s="152"/>
      <c r="FQN5" s="152"/>
      <c r="FQO5" s="152"/>
      <c r="FQP5" s="152"/>
      <c r="FQQ5" s="152"/>
      <c r="FQR5" s="152"/>
      <c r="FQS5" s="152"/>
      <c r="FQT5" s="152"/>
      <c r="FQU5" s="152"/>
      <c r="FQV5" s="152"/>
      <c r="FQW5" s="152"/>
      <c r="FQX5" s="152"/>
      <c r="FQY5" s="152"/>
      <c r="FQZ5" s="152"/>
      <c r="FRA5" s="152"/>
      <c r="FRB5" s="152"/>
      <c r="FRC5" s="152"/>
      <c r="FRD5" s="152"/>
      <c r="FRE5" s="152"/>
      <c r="FRF5" s="152"/>
      <c r="FRG5" s="152"/>
      <c r="FRH5" s="152"/>
      <c r="FRI5" s="152"/>
      <c r="FRJ5" s="152"/>
      <c r="FRK5" s="152"/>
      <c r="FRL5" s="152"/>
      <c r="FRM5" s="152"/>
      <c r="FRN5" s="152"/>
      <c r="FRO5" s="152"/>
      <c r="FRP5" s="152"/>
      <c r="FRQ5" s="152"/>
      <c r="FRR5" s="152"/>
      <c r="FRS5" s="152"/>
      <c r="FRT5" s="152"/>
      <c r="FRU5" s="152"/>
      <c r="FRV5" s="152"/>
      <c r="FRW5" s="152"/>
      <c r="FRX5" s="152"/>
      <c r="FRY5" s="152"/>
      <c r="FRZ5" s="152"/>
      <c r="FSA5" s="152"/>
      <c r="FSB5" s="152"/>
      <c r="FSC5" s="152"/>
      <c r="FSD5" s="152"/>
      <c r="FSE5" s="152"/>
      <c r="FSF5" s="152"/>
      <c r="FSG5" s="152"/>
      <c r="FSH5" s="152"/>
      <c r="FSI5" s="152"/>
      <c r="FSJ5" s="152"/>
      <c r="FSK5" s="152"/>
      <c r="FSL5" s="152"/>
      <c r="FSM5" s="152"/>
      <c r="FSN5" s="152"/>
      <c r="FSO5" s="152"/>
      <c r="FSP5" s="152"/>
      <c r="FSQ5" s="152"/>
      <c r="FSR5" s="152"/>
      <c r="FSS5" s="152"/>
      <c r="FST5" s="152"/>
      <c r="FSU5" s="152"/>
      <c r="FSV5" s="152"/>
      <c r="FSW5" s="152"/>
      <c r="FSX5" s="152"/>
      <c r="FSY5" s="152"/>
      <c r="FSZ5" s="152"/>
      <c r="FTA5" s="152"/>
      <c r="FTB5" s="152"/>
      <c r="FTC5" s="152"/>
      <c r="FTD5" s="152"/>
      <c r="FTE5" s="152"/>
      <c r="FTF5" s="152"/>
      <c r="FTG5" s="152"/>
      <c r="FTH5" s="152"/>
      <c r="FTI5" s="152"/>
      <c r="FTJ5" s="152"/>
      <c r="FTK5" s="152"/>
      <c r="FTL5" s="152"/>
      <c r="FTM5" s="152"/>
      <c r="FTN5" s="152"/>
      <c r="FTO5" s="152"/>
      <c r="FTP5" s="152"/>
      <c r="FTQ5" s="152"/>
      <c r="FTR5" s="152"/>
      <c r="FTS5" s="152"/>
      <c r="FTT5" s="152"/>
      <c r="FTU5" s="152"/>
      <c r="FTV5" s="152"/>
      <c r="FTW5" s="152"/>
      <c r="FTX5" s="152"/>
      <c r="FTY5" s="152"/>
      <c r="FTZ5" s="152"/>
      <c r="FUA5" s="152"/>
      <c r="FUB5" s="152"/>
      <c r="FUC5" s="152"/>
      <c r="FUD5" s="152"/>
      <c r="FUE5" s="152"/>
      <c r="FUF5" s="152"/>
      <c r="FUG5" s="152"/>
      <c r="FUH5" s="152"/>
      <c r="FUI5" s="152"/>
      <c r="FUJ5" s="152"/>
      <c r="FUK5" s="152"/>
      <c r="FUL5" s="152"/>
      <c r="FUM5" s="152"/>
      <c r="FUN5" s="152"/>
      <c r="FUO5" s="152"/>
      <c r="FUP5" s="152"/>
      <c r="FUQ5" s="152"/>
      <c r="FUR5" s="152"/>
      <c r="FUS5" s="152"/>
      <c r="FUT5" s="152"/>
      <c r="FUU5" s="152"/>
      <c r="FUV5" s="152"/>
      <c r="FUW5" s="152"/>
      <c r="FUX5" s="152"/>
      <c r="FUY5" s="152"/>
      <c r="FUZ5" s="152"/>
      <c r="FVA5" s="152"/>
      <c r="FVB5" s="152"/>
      <c r="FVC5" s="152"/>
      <c r="FVD5" s="152"/>
      <c r="FVE5" s="152"/>
      <c r="FVF5" s="152"/>
      <c r="FVG5" s="152"/>
      <c r="FVH5" s="152"/>
      <c r="FVI5" s="152"/>
      <c r="FVJ5" s="152"/>
      <c r="FVK5" s="152"/>
      <c r="FVL5" s="152"/>
      <c r="FVM5" s="152"/>
      <c r="FVN5" s="152"/>
      <c r="FVO5" s="152"/>
      <c r="FVP5" s="152"/>
      <c r="FVQ5" s="152"/>
      <c r="FVR5" s="152"/>
      <c r="FVS5" s="152"/>
      <c r="FVT5" s="152"/>
      <c r="FVU5" s="152"/>
      <c r="FVV5" s="152"/>
      <c r="FVW5" s="152"/>
      <c r="FVX5" s="152"/>
      <c r="FVY5" s="152"/>
      <c r="FVZ5" s="152"/>
      <c r="FWA5" s="152"/>
      <c r="FWB5" s="152"/>
      <c r="FWC5" s="152"/>
      <c r="FWD5" s="152"/>
      <c r="FWE5" s="152"/>
      <c r="FWF5" s="152"/>
      <c r="FWG5" s="152"/>
      <c r="FWH5" s="152"/>
      <c r="FWI5" s="152"/>
      <c r="FWJ5" s="152"/>
      <c r="FWK5" s="152"/>
      <c r="FWL5" s="152"/>
      <c r="FWM5" s="152"/>
      <c r="FWN5" s="152"/>
      <c r="FWO5" s="152"/>
      <c r="FWP5" s="152"/>
      <c r="FWQ5" s="152"/>
      <c r="FWR5" s="152"/>
      <c r="FWS5" s="152"/>
      <c r="FWT5" s="152"/>
      <c r="FWU5" s="152"/>
      <c r="FWV5" s="152"/>
      <c r="FWW5" s="152"/>
      <c r="FWX5" s="152"/>
      <c r="FWY5" s="152"/>
      <c r="FWZ5" s="152"/>
      <c r="FXA5" s="152"/>
      <c r="FXB5" s="152"/>
      <c r="FXC5" s="152"/>
      <c r="FXD5" s="152"/>
      <c r="FXE5" s="152"/>
      <c r="FXF5" s="152"/>
      <c r="FXG5" s="152"/>
      <c r="FXH5" s="152"/>
      <c r="FXI5" s="152"/>
      <c r="FXJ5" s="152"/>
      <c r="FXK5" s="152"/>
      <c r="FXL5" s="152"/>
      <c r="FXM5" s="152"/>
      <c r="FXN5" s="152"/>
      <c r="FXO5" s="152"/>
      <c r="FXP5" s="152"/>
      <c r="FXQ5" s="152"/>
      <c r="FXR5" s="152"/>
      <c r="FXS5" s="152"/>
      <c r="FXT5" s="152"/>
      <c r="FXU5" s="152"/>
      <c r="FXV5" s="152"/>
      <c r="FXW5" s="152"/>
      <c r="FXX5" s="152"/>
      <c r="FXY5" s="152"/>
      <c r="FXZ5" s="152"/>
      <c r="FYA5" s="152"/>
      <c r="FYB5" s="152"/>
      <c r="FYC5" s="152"/>
      <c r="FYD5" s="152"/>
      <c r="FYE5" s="152"/>
      <c r="FYF5" s="152"/>
      <c r="FYG5" s="152"/>
      <c r="FYH5" s="152"/>
      <c r="FYI5" s="152"/>
      <c r="FYJ5" s="152"/>
      <c r="FYK5" s="152"/>
      <c r="FYL5" s="152"/>
      <c r="FYM5" s="152"/>
      <c r="FYN5" s="152"/>
      <c r="FYO5" s="152"/>
      <c r="FYP5" s="152"/>
      <c r="FYQ5" s="152"/>
      <c r="FYR5" s="152"/>
      <c r="FYS5" s="152"/>
      <c r="FYT5" s="152"/>
      <c r="FYU5" s="152"/>
      <c r="FYV5" s="152"/>
      <c r="FYW5" s="152"/>
      <c r="FYX5" s="152"/>
      <c r="FYY5" s="152"/>
      <c r="FYZ5" s="152"/>
      <c r="FZA5" s="152"/>
      <c r="FZB5" s="152"/>
      <c r="FZC5" s="152"/>
      <c r="FZD5" s="152"/>
      <c r="FZE5" s="152"/>
      <c r="FZF5" s="152"/>
      <c r="FZG5" s="152"/>
      <c r="FZH5" s="152"/>
      <c r="FZI5" s="152"/>
      <c r="FZJ5" s="152"/>
      <c r="FZK5" s="152"/>
      <c r="FZL5" s="152"/>
      <c r="FZM5" s="152"/>
      <c r="FZN5" s="152"/>
      <c r="FZO5" s="152"/>
      <c r="FZP5" s="152"/>
      <c r="FZQ5" s="152"/>
      <c r="FZR5" s="152"/>
      <c r="FZS5" s="152"/>
      <c r="FZT5" s="152"/>
      <c r="FZU5" s="152"/>
      <c r="FZV5" s="152"/>
      <c r="FZW5" s="152"/>
      <c r="FZX5" s="152"/>
      <c r="FZY5" s="152"/>
      <c r="FZZ5" s="152"/>
      <c r="GAA5" s="152"/>
      <c r="GAB5" s="152"/>
      <c r="GAC5" s="152"/>
      <c r="GAD5" s="152"/>
      <c r="GAE5" s="152"/>
      <c r="GAF5" s="152"/>
      <c r="GAG5" s="152"/>
      <c r="GAH5" s="152"/>
      <c r="GAI5" s="152"/>
      <c r="GAJ5" s="152"/>
      <c r="GAK5" s="152"/>
      <c r="GAL5" s="152"/>
      <c r="GAM5" s="152"/>
      <c r="GAN5" s="152"/>
      <c r="GAO5" s="152"/>
      <c r="GAP5" s="152"/>
      <c r="GAQ5" s="152"/>
      <c r="GAR5" s="152"/>
      <c r="GAS5" s="152"/>
      <c r="GAT5" s="152"/>
      <c r="GAU5" s="152"/>
      <c r="GAV5" s="152"/>
      <c r="GAW5" s="152"/>
      <c r="GAX5" s="152"/>
      <c r="GAY5" s="152"/>
      <c r="GAZ5" s="152"/>
      <c r="GBA5" s="152"/>
      <c r="GBB5" s="152"/>
      <c r="GBC5" s="152"/>
      <c r="GBD5" s="152"/>
      <c r="GBE5" s="152"/>
      <c r="GBF5" s="152"/>
      <c r="GBG5" s="152"/>
      <c r="GBH5" s="152"/>
      <c r="GBI5" s="152"/>
      <c r="GBJ5" s="152"/>
      <c r="GBK5" s="152"/>
      <c r="GBL5" s="152"/>
      <c r="GBM5" s="152"/>
      <c r="GBN5" s="152"/>
      <c r="GBO5" s="152"/>
      <c r="GBP5" s="152"/>
      <c r="GBQ5" s="152"/>
      <c r="GBR5" s="152"/>
      <c r="GBS5" s="152"/>
      <c r="GBT5" s="152"/>
      <c r="GBU5" s="152"/>
      <c r="GBV5" s="152"/>
      <c r="GBW5" s="152"/>
      <c r="GBX5" s="152"/>
      <c r="GBY5" s="152"/>
      <c r="GBZ5" s="152"/>
      <c r="GCA5" s="152"/>
      <c r="GCB5" s="152"/>
      <c r="GCC5" s="152"/>
      <c r="GCD5" s="152"/>
      <c r="GCE5" s="152"/>
      <c r="GCF5" s="152"/>
      <c r="GCG5" s="152"/>
      <c r="GCH5" s="152"/>
      <c r="GCI5" s="152"/>
      <c r="GCJ5" s="152"/>
      <c r="GCK5" s="152"/>
      <c r="GCL5" s="152"/>
      <c r="GCM5" s="152"/>
      <c r="GCN5" s="152"/>
      <c r="GCO5" s="152"/>
      <c r="GCP5" s="152"/>
      <c r="GCQ5" s="152"/>
      <c r="GCR5" s="152"/>
      <c r="GCS5" s="152"/>
      <c r="GCT5" s="152"/>
      <c r="GCU5" s="152"/>
      <c r="GCV5" s="152"/>
      <c r="GCW5" s="152"/>
      <c r="GCX5" s="152"/>
      <c r="GCY5" s="152"/>
      <c r="GCZ5" s="152"/>
      <c r="GDA5" s="152"/>
      <c r="GDB5" s="152"/>
      <c r="GDC5" s="152"/>
      <c r="GDD5" s="152"/>
      <c r="GDE5" s="152"/>
      <c r="GDF5" s="152"/>
      <c r="GDG5" s="152"/>
      <c r="GDH5" s="152"/>
      <c r="GDI5" s="152"/>
      <c r="GDJ5" s="152"/>
      <c r="GDK5" s="152"/>
      <c r="GDL5" s="152"/>
      <c r="GDM5" s="152"/>
      <c r="GDN5" s="152"/>
      <c r="GDO5" s="152"/>
      <c r="GDP5" s="152"/>
      <c r="GDQ5" s="152"/>
      <c r="GDR5" s="152"/>
      <c r="GDS5" s="152"/>
      <c r="GDT5" s="152"/>
      <c r="GDU5" s="152"/>
      <c r="GDV5" s="152"/>
      <c r="GDW5" s="152"/>
      <c r="GDX5" s="152"/>
      <c r="GDY5" s="152"/>
      <c r="GDZ5" s="152"/>
      <c r="GEA5" s="152"/>
      <c r="GEB5" s="152"/>
      <c r="GEC5" s="152"/>
      <c r="GED5" s="152"/>
      <c r="GEE5" s="152"/>
      <c r="GEF5" s="152"/>
      <c r="GEG5" s="152"/>
      <c r="GEH5" s="152"/>
      <c r="GEI5" s="152"/>
      <c r="GEJ5" s="152"/>
      <c r="GEK5" s="152"/>
      <c r="GEL5" s="152"/>
      <c r="GEM5" s="152"/>
      <c r="GEN5" s="152"/>
      <c r="GEO5" s="152"/>
      <c r="GEP5" s="152"/>
      <c r="GEQ5" s="152"/>
      <c r="GER5" s="152"/>
      <c r="GES5" s="152"/>
      <c r="GET5" s="152"/>
      <c r="GEU5" s="152"/>
      <c r="GEV5" s="152"/>
      <c r="GEW5" s="152"/>
      <c r="GEX5" s="152"/>
      <c r="GEY5" s="152"/>
      <c r="GEZ5" s="152"/>
      <c r="GFA5" s="152"/>
      <c r="GFB5" s="152"/>
      <c r="GFC5" s="152"/>
      <c r="GFD5" s="152"/>
      <c r="GFE5" s="152"/>
      <c r="GFF5" s="152"/>
      <c r="GFG5" s="152"/>
      <c r="GFH5" s="152"/>
      <c r="GFI5" s="152"/>
      <c r="GFJ5" s="152"/>
      <c r="GFK5" s="152"/>
      <c r="GFL5" s="152"/>
      <c r="GFM5" s="152"/>
      <c r="GFN5" s="152"/>
      <c r="GFO5" s="152"/>
      <c r="GFP5" s="152"/>
      <c r="GFQ5" s="152"/>
      <c r="GFR5" s="152"/>
      <c r="GFS5" s="152"/>
      <c r="GFT5" s="152"/>
      <c r="GFU5" s="152"/>
      <c r="GFV5" s="152"/>
      <c r="GFW5" s="152"/>
      <c r="GFX5" s="152"/>
      <c r="GFY5" s="152"/>
      <c r="GFZ5" s="152"/>
      <c r="GGA5" s="152"/>
      <c r="GGB5" s="152"/>
      <c r="GGC5" s="152"/>
      <c r="GGD5" s="152"/>
      <c r="GGE5" s="152"/>
      <c r="GGF5" s="152"/>
      <c r="GGG5" s="152"/>
      <c r="GGH5" s="152"/>
      <c r="GGI5" s="152"/>
      <c r="GGJ5" s="152"/>
      <c r="GGK5" s="152"/>
      <c r="GGL5" s="152"/>
      <c r="GGM5" s="152"/>
      <c r="GGN5" s="152"/>
      <c r="GGO5" s="152"/>
      <c r="GGP5" s="152"/>
      <c r="GGQ5" s="152"/>
      <c r="GGR5" s="152"/>
      <c r="GGS5" s="152"/>
      <c r="GGT5" s="152"/>
      <c r="GGU5" s="152"/>
      <c r="GGV5" s="152"/>
      <c r="GGW5" s="152"/>
      <c r="GGX5" s="152"/>
      <c r="GGY5" s="152"/>
      <c r="GGZ5" s="152"/>
      <c r="GHA5" s="152"/>
      <c r="GHB5" s="152"/>
      <c r="GHC5" s="152"/>
      <c r="GHD5" s="152"/>
      <c r="GHE5" s="152"/>
      <c r="GHF5" s="152"/>
      <c r="GHG5" s="152"/>
      <c r="GHH5" s="152"/>
      <c r="GHI5" s="152"/>
      <c r="GHJ5" s="152"/>
      <c r="GHK5" s="152"/>
      <c r="GHL5" s="152"/>
      <c r="GHM5" s="152"/>
      <c r="GHN5" s="152"/>
      <c r="GHO5" s="152"/>
      <c r="GHP5" s="152"/>
      <c r="GHQ5" s="152"/>
      <c r="GHR5" s="152"/>
      <c r="GHS5" s="152"/>
      <c r="GHT5" s="152"/>
      <c r="GHU5" s="152"/>
      <c r="GHV5" s="152"/>
      <c r="GHW5" s="152"/>
      <c r="GHX5" s="152"/>
      <c r="GHY5" s="152"/>
      <c r="GHZ5" s="152"/>
      <c r="GIA5" s="152"/>
      <c r="GIB5" s="152"/>
      <c r="GIC5" s="152"/>
      <c r="GID5" s="152"/>
      <c r="GIE5" s="152"/>
      <c r="GIF5" s="152"/>
      <c r="GIG5" s="152"/>
      <c r="GIH5" s="152"/>
      <c r="GII5" s="152"/>
      <c r="GIJ5" s="152"/>
      <c r="GIK5" s="152"/>
      <c r="GIL5" s="152"/>
      <c r="GIM5" s="152"/>
      <c r="GIN5" s="152"/>
      <c r="GIO5" s="152"/>
      <c r="GIP5" s="152"/>
      <c r="GIQ5" s="152"/>
      <c r="GIR5" s="152"/>
      <c r="GIS5" s="152"/>
      <c r="GIT5" s="152"/>
      <c r="GIU5" s="152"/>
      <c r="GIV5" s="152"/>
      <c r="GIW5" s="152"/>
      <c r="GIX5" s="152"/>
      <c r="GIY5" s="152"/>
      <c r="GIZ5" s="152"/>
      <c r="GJA5" s="152"/>
      <c r="GJB5" s="152"/>
      <c r="GJC5" s="152"/>
      <c r="GJD5" s="152"/>
      <c r="GJE5" s="152"/>
      <c r="GJF5" s="152"/>
      <c r="GJG5" s="152"/>
      <c r="GJH5" s="152"/>
      <c r="GJI5" s="152"/>
      <c r="GJJ5" s="152"/>
      <c r="GJK5" s="152"/>
      <c r="GJL5" s="152"/>
      <c r="GJM5" s="152"/>
      <c r="GJN5" s="152"/>
      <c r="GJO5" s="152"/>
      <c r="GJP5" s="152"/>
      <c r="GJQ5" s="152"/>
      <c r="GJR5" s="152"/>
      <c r="GJS5" s="152"/>
      <c r="GJT5" s="152"/>
      <c r="GJU5" s="152"/>
      <c r="GJV5" s="152"/>
      <c r="GJW5" s="152"/>
      <c r="GJX5" s="152"/>
      <c r="GJY5" s="152"/>
      <c r="GJZ5" s="152"/>
      <c r="GKA5" s="152"/>
      <c r="GKB5" s="152"/>
      <c r="GKC5" s="152"/>
      <c r="GKD5" s="152"/>
      <c r="GKE5" s="152"/>
      <c r="GKF5" s="152"/>
      <c r="GKG5" s="152"/>
      <c r="GKH5" s="152"/>
      <c r="GKI5" s="152"/>
      <c r="GKJ5" s="152"/>
      <c r="GKK5" s="152"/>
      <c r="GKL5" s="152"/>
      <c r="GKM5" s="152"/>
      <c r="GKN5" s="152"/>
      <c r="GKO5" s="152"/>
      <c r="GKP5" s="152"/>
      <c r="GKQ5" s="152"/>
      <c r="GKR5" s="152"/>
      <c r="GKS5" s="152"/>
      <c r="GKT5" s="152"/>
      <c r="GKU5" s="152"/>
      <c r="GKV5" s="152"/>
      <c r="GKW5" s="152"/>
      <c r="GKX5" s="152"/>
      <c r="GKY5" s="152"/>
      <c r="GKZ5" s="152"/>
      <c r="GLA5" s="152"/>
      <c r="GLB5" s="152"/>
      <c r="GLC5" s="152"/>
      <c r="GLD5" s="152"/>
      <c r="GLE5" s="152"/>
      <c r="GLF5" s="152"/>
      <c r="GLG5" s="152"/>
      <c r="GLH5" s="152"/>
      <c r="GLI5" s="152"/>
      <c r="GLJ5" s="152"/>
      <c r="GLK5" s="152"/>
      <c r="GLL5" s="152"/>
      <c r="GLM5" s="152"/>
      <c r="GLN5" s="152"/>
      <c r="GLO5" s="152"/>
      <c r="GLP5" s="152"/>
      <c r="GLQ5" s="152"/>
      <c r="GLR5" s="152"/>
      <c r="GLS5" s="152"/>
      <c r="GLT5" s="152"/>
      <c r="GLU5" s="152"/>
      <c r="GLV5" s="152"/>
      <c r="GLW5" s="152"/>
      <c r="GLX5" s="152"/>
      <c r="GLY5" s="152"/>
      <c r="GLZ5" s="152"/>
      <c r="GMA5" s="152"/>
      <c r="GMB5" s="152"/>
      <c r="GMC5" s="152"/>
      <c r="GMD5" s="152"/>
      <c r="GME5" s="152"/>
      <c r="GMF5" s="152"/>
      <c r="GMG5" s="152"/>
      <c r="GMH5" s="152"/>
      <c r="GMI5" s="152"/>
      <c r="GMJ5" s="152"/>
      <c r="GMK5" s="152"/>
      <c r="GML5" s="152"/>
      <c r="GMM5" s="152"/>
      <c r="GMN5" s="152"/>
      <c r="GMO5" s="152"/>
      <c r="GMP5" s="152"/>
      <c r="GMQ5" s="152"/>
      <c r="GMR5" s="152"/>
      <c r="GMS5" s="152"/>
      <c r="GMT5" s="152"/>
      <c r="GMU5" s="152"/>
      <c r="GMV5" s="152"/>
      <c r="GMW5" s="152"/>
      <c r="GMX5" s="152"/>
      <c r="GMY5" s="152"/>
      <c r="GMZ5" s="152"/>
      <c r="GNA5" s="152"/>
      <c r="GNB5" s="152"/>
      <c r="GNC5" s="152"/>
      <c r="GND5" s="152"/>
      <c r="GNE5" s="152"/>
      <c r="GNF5" s="152"/>
      <c r="GNG5" s="152"/>
      <c r="GNH5" s="152"/>
      <c r="GNI5" s="152"/>
      <c r="GNJ5" s="152"/>
      <c r="GNK5" s="152"/>
      <c r="GNL5" s="152"/>
      <c r="GNM5" s="152"/>
      <c r="GNN5" s="152"/>
      <c r="GNO5" s="152"/>
      <c r="GNP5" s="152"/>
      <c r="GNQ5" s="152"/>
      <c r="GNR5" s="152"/>
      <c r="GNS5" s="152"/>
      <c r="GNT5" s="152"/>
      <c r="GNU5" s="152"/>
      <c r="GNV5" s="152"/>
      <c r="GNW5" s="152"/>
      <c r="GNX5" s="152"/>
      <c r="GNY5" s="152"/>
      <c r="GNZ5" s="152"/>
      <c r="GOA5" s="152"/>
      <c r="GOB5" s="152"/>
      <c r="GOC5" s="152"/>
      <c r="GOD5" s="152"/>
      <c r="GOE5" s="152"/>
      <c r="GOF5" s="152"/>
      <c r="GOG5" s="152"/>
      <c r="GOH5" s="152"/>
      <c r="GOI5" s="152"/>
      <c r="GOJ5" s="152"/>
      <c r="GOK5" s="152"/>
      <c r="GOL5" s="152"/>
      <c r="GOM5" s="152"/>
      <c r="GON5" s="152"/>
      <c r="GOO5" s="152"/>
      <c r="GOP5" s="152"/>
      <c r="GOQ5" s="152"/>
      <c r="GOR5" s="152"/>
      <c r="GOS5" s="152"/>
      <c r="GOT5" s="152"/>
      <c r="GOU5" s="152"/>
      <c r="GOV5" s="152"/>
      <c r="GOW5" s="152"/>
      <c r="GOX5" s="152"/>
      <c r="GOY5" s="152"/>
      <c r="GOZ5" s="152"/>
      <c r="GPA5" s="152"/>
      <c r="GPB5" s="152"/>
      <c r="GPC5" s="152"/>
      <c r="GPD5" s="152"/>
      <c r="GPE5" s="152"/>
      <c r="GPF5" s="152"/>
      <c r="GPG5" s="152"/>
      <c r="GPH5" s="152"/>
      <c r="GPI5" s="152"/>
      <c r="GPJ5" s="152"/>
      <c r="GPK5" s="152"/>
      <c r="GPL5" s="152"/>
      <c r="GPM5" s="152"/>
      <c r="GPN5" s="152"/>
      <c r="GPO5" s="152"/>
      <c r="GPP5" s="152"/>
      <c r="GPQ5" s="152"/>
      <c r="GPR5" s="152"/>
      <c r="GPS5" s="152"/>
      <c r="GPT5" s="152"/>
      <c r="GPU5" s="152"/>
      <c r="GPV5" s="152"/>
      <c r="GPW5" s="152"/>
      <c r="GPX5" s="152"/>
      <c r="GPY5" s="152"/>
      <c r="GPZ5" s="152"/>
      <c r="GQA5" s="152"/>
      <c r="GQB5" s="152"/>
      <c r="GQC5" s="152"/>
      <c r="GQD5" s="152"/>
      <c r="GQE5" s="152"/>
      <c r="GQF5" s="152"/>
      <c r="GQG5" s="152"/>
      <c r="GQH5" s="152"/>
      <c r="GQI5" s="152"/>
      <c r="GQJ5" s="152"/>
      <c r="GQK5" s="152"/>
      <c r="GQL5" s="152"/>
      <c r="GQM5" s="152"/>
      <c r="GQN5" s="152"/>
      <c r="GQO5" s="152"/>
      <c r="GQP5" s="152"/>
      <c r="GQQ5" s="152"/>
      <c r="GQR5" s="152"/>
      <c r="GQS5" s="152"/>
      <c r="GQT5" s="152"/>
      <c r="GQU5" s="152"/>
      <c r="GQV5" s="152"/>
      <c r="GQW5" s="152"/>
      <c r="GQX5" s="152"/>
      <c r="GQY5" s="152"/>
      <c r="GQZ5" s="152"/>
      <c r="GRA5" s="152"/>
      <c r="GRB5" s="152"/>
      <c r="GRC5" s="152"/>
      <c r="GRD5" s="152"/>
      <c r="GRE5" s="152"/>
      <c r="GRF5" s="152"/>
      <c r="GRG5" s="152"/>
      <c r="GRH5" s="152"/>
      <c r="GRI5" s="152"/>
      <c r="GRJ5" s="152"/>
      <c r="GRK5" s="152"/>
      <c r="GRL5" s="152"/>
      <c r="GRM5" s="152"/>
      <c r="GRN5" s="152"/>
      <c r="GRO5" s="152"/>
      <c r="GRP5" s="152"/>
      <c r="GRQ5" s="152"/>
      <c r="GRR5" s="152"/>
      <c r="GRS5" s="152"/>
      <c r="GRT5" s="152"/>
      <c r="GRU5" s="152"/>
      <c r="GRV5" s="152"/>
      <c r="GRW5" s="152"/>
      <c r="GRX5" s="152"/>
      <c r="GRY5" s="152"/>
      <c r="GRZ5" s="152"/>
      <c r="GSA5" s="152"/>
      <c r="GSB5" s="152"/>
      <c r="GSC5" s="152"/>
      <c r="GSD5" s="152"/>
      <c r="GSE5" s="152"/>
      <c r="GSF5" s="152"/>
      <c r="GSG5" s="152"/>
      <c r="GSH5" s="152"/>
      <c r="GSI5" s="152"/>
      <c r="GSJ5" s="152"/>
      <c r="GSK5" s="152"/>
      <c r="GSL5" s="152"/>
      <c r="GSM5" s="152"/>
      <c r="GSN5" s="152"/>
      <c r="GSO5" s="152"/>
      <c r="GSP5" s="152"/>
      <c r="GSQ5" s="152"/>
      <c r="GSR5" s="152"/>
      <c r="GSS5" s="152"/>
      <c r="GST5" s="152"/>
      <c r="GSU5" s="152"/>
      <c r="GSV5" s="152"/>
      <c r="GSW5" s="152"/>
      <c r="GSX5" s="152"/>
      <c r="GSY5" s="152"/>
      <c r="GSZ5" s="152"/>
      <c r="GTA5" s="152"/>
      <c r="GTB5" s="152"/>
      <c r="GTC5" s="152"/>
      <c r="GTD5" s="152"/>
      <c r="GTE5" s="152"/>
      <c r="GTF5" s="152"/>
      <c r="GTG5" s="152"/>
      <c r="GTH5" s="152"/>
      <c r="GTI5" s="152"/>
      <c r="GTJ5" s="152"/>
      <c r="GTK5" s="152"/>
      <c r="GTL5" s="152"/>
      <c r="GTM5" s="152"/>
      <c r="GTN5" s="152"/>
      <c r="GTO5" s="152"/>
      <c r="GTP5" s="152"/>
      <c r="GTQ5" s="152"/>
      <c r="GTR5" s="152"/>
      <c r="GTS5" s="152"/>
      <c r="GTT5" s="152"/>
      <c r="GTU5" s="152"/>
      <c r="GTV5" s="152"/>
      <c r="GTW5" s="152"/>
      <c r="GTX5" s="152"/>
      <c r="GTY5" s="152"/>
      <c r="GTZ5" s="152"/>
      <c r="GUA5" s="152"/>
      <c r="GUB5" s="152"/>
      <c r="GUC5" s="152"/>
      <c r="GUD5" s="152"/>
      <c r="GUE5" s="152"/>
      <c r="GUF5" s="152"/>
      <c r="GUG5" s="152"/>
      <c r="GUH5" s="152"/>
      <c r="GUI5" s="152"/>
      <c r="GUJ5" s="152"/>
      <c r="GUK5" s="152"/>
      <c r="GUL5" s="152"/>
      <c r="GUM5" s="152"/>
      <c r="GUN5" s="152"/>
      <c r="GUO5" s="152"/>
      <c r="GUP5" s="152"/>
      <c r="GUQ5" s="152"/>
      <c r="GUR5" s="152"/>
      <c r="GUS5" s="152"/>
      <c r="GUT5" s="152"/>
      <c r="GUU5" s="152"/>
      <c r="GUV5" s="152"/>
      <c r="GUW5" s="152"/>
      <c r="GUX5" s="152"/>
      <c r="GUY5" s="152"/>
      <c r="GUZ5" s="152"/>
      <c r="GVA5" s="152"/>
      <c r="GVB5" s="152"/>
      <c r="GVC5" s="152"/>
      <c r="GVD5" s="152"/>
      <c r="GVE5" s="152"/>
      <c r="GVF5" s="152"/>
      <c r="GVG5" s="152"/>
      <c r="GVH5" s="152"/>
      <c r="GVI5" s="152"/>
      <c r="GVJ5" s="152"/>
      <c r="GVK5" s="152"/>
      <c r="GVL5" s="152"/>
      <c r="GVM5" s="152"/>
      <c r="GVN5" s="152"/>
      <c r="GVO5" s="152"/>
      <c r="GVP5" s="152"/>
      <c r="GVQ5" s="152"/>
      <c r="GVR5" s="152"/>
      <c r="GVS5" s="152"/>
      <c r="GVT5" s="152"/>
      <c r="GVU5" s="152"/>
      <c r="GVV5" s="152"/>
      <c r="GVW5" s="152"/>
      <c r="GVX5" s="152"/>
      <c r="GVY5" s="152"/>
      <c r="GVZ5" s="152"/>
      <c r="GWA5" s="152"/>
      <c r="GWB5" s="152"/>
      <c r="GWC5" s="152"/>
      <c r="GWD5" s="152"/>
      <c r="GWE5" s="152"/>
      <c r="GWF5" s="152"/>
      <c r="GWG5" s="152"/>
      <c r="GWH5" s="152"/>
      <c r="GWI5" s="152"/>
      <c r="GWJ5" s="152"/>
      <c r="GWK5" s="152"/>
      <c r="GWL5" s="152"/>
      <c r="GWM5" s="152"/>
      <c r="GWN5" s="152"/>
      <c r="GWO5" s="152"/>
      <c r="GWP5" s="152"/>
      <c r="GWQ5" s="152"/>
      <c r="GWR5" s="152"/>
      <c r="GWS5" s="152"/>
      <c r="GWT5" s="152"/>
      <c r="GWU5" s="152"/>
      <c r="GWV5" s="152"/>
      <c r="GWW5" s="152"/>
      <c r="GWX5" s="152"/>
      <c r="GWY5" s="152"/>
      <c r="GWZ5" s="152"/>
      <c r="GXA5" s="152"/>
      <c r="GXB5" s="152"/>
      <c r="GXC5" s="152"/>
      <c r="GXD5" s="152"/>
      <c r="GXE5" s="152"/>
      <c r="GXF5" s="152"/>
      <c r="GXG5" s="152"/>
      <c r="GXH5" s="152"/>
      <c r="GXI5" s="152"/>
      <c r="GXJ5" s="152"/>
      <c r="GXK5" s="152"/>
      <c r="GXL5" s="152"/>
      <c r="GXM5" s="152"/>
      <c r="GXN5" s="152"/>
      <c r="GXO5" s="152"/>
      <c r="GXP5" s="152"/>
      <c r="GXQ5" s="152"/>
      <c r="GXR5" s="152"/>
      <c r="GXS5" s="152"/>
      <c r="GXT5" s="152"/>
      <c r="GXU5" s="152"/>
      <c r="GXV5" s="152"/>
      <c r="GXW5" s="152"/>
      <c r="GXX5" s="152"/>
      <c r="GXY5" s="152"/>
      <c r="GXZ5" s="152"/>
      <c r="GYA5" s="152"/>
      <c r="GYB5" s="152"/>
      <c r="GYC5" s="152"/>
      <c r="GYD5" s="152"/>
      <c r="GYE5" s="152"/>
      <c r="GYF5" s="152"/>
      <c r="GYG5" s="152"/>
      <c r="GYH5" s="152"/>
      <c r="GYI5" s="152"/>
      <c r="GYJ5" s="152"/>
      <c r="GYK5" s="152"/>
      <c r="GYL5" s="152"/>
      <c r="GYM5" s="152"/>
      <c r="GYN5" s="152"/>
      <c r="GYO5" s="152"/>
      <c r="GYP5" s="152"/>
      <c r="GYQ5" s="152"/>
      <c r="GYR5" s="152"/>
      <c r="GYS5" s="152"/>
      <c r="GYT5" s="152"/>
      <c r="GYU5" s="152"/>
      <c r="GYV5" s="152"/>
      <c r="GYW5" s="152"/>
      <c r="GYX5" s="152"/>
      <c r="GYY5" s="152"/>
      <c r="GYZ5" s="152"/>
      <c r="GZA5" s="152"/>
      <c r="GZB5" s="152"/>
      <c r="GZC5" s="152"/>
      <c r="GZD5" s="152"/>
      <c r="GZE5" s="152"/>
      <c r="GZF5" s="152"/>
      <c r="GZG5" s="152"/>
      <c r="GZH5" s="152"/>
      <c r="GZI5" s="152"/>
      <c r="GZJ5" s="152"/>
      <c r="GZK5" s="152"/>
      <c r="GZL5" s="152"/>
      <c r="GZM5" s="152"/>
      <c r="GZN5" s="152"/>
      <c r="GZO5" s="152"/>
      <c r="GZP5" s="152"/>
      <c r="GZQ5" s="152"/>
      <c r="GZR5" s="152"/>
      <c r="GZS5" s="152"/>
      <c r="GZT5" s="152"/>
      <c r="GZU5" s="152"/>
      <c r="GZV5" s="152"/>
      <c r="GZW5" s="152"/>
      <c r="GZX5" s="152"/>
      <c r="GZY5" s="152"/>
      <c r="GZZ5" s="152"/>
      <c r="HAA5" s="152"/>
      <c r="HAB5" s="152"/>
      <c r="HAC5" s="152"/>
      <c r="HAD5" s="152"/>
      <c r="HAE5" s="152"/>
      <c r="HAF5" s="152"/>
      <c r="HAG5" s="152"/>
      <c r="HAH5" s="152"/>
      <c r="HAI5" s="152"/>
      <c r="HAJ5" s="152"/>
      <c r="HAK5" s="152"/>
      <c r="HAL5" s="152"/>
      <c r="HAM5" s="152"/>
      <c r="HAN5" s="152"/>
      <c r="HAO5" s="152"/>
      <c r="HAP5" s="152"/>
      <c r="HAQ5" s="152"/>
      <c r="HAR5" s="152"/>
      <c r="HAS5" s="152"/>
      <c r="HAT5" s="152"/>
      <c r="HAU5" s="152"/>
      <c r="HAV5" s="152"/>
      <c r="HAW5" s="152"/>
      <c r="HAX5" s="152"/>
      <c r="HAY5" s="152"/>
      <c r="HAZ5" s="152"/>
      <c r="HBA5" s="152"/>
      <c r="HBB5" s="152"/>
      <c r="HBC5" s="152"/>
      <c r="HBD5" s="152"/>
      <c r="HBE5" s="152"/>
      <c r="HBF5" s="152"/>
      <c r="HBG5" s="152"/>
      <c r="HBH5" s="152"/>
      <c r="HBI5" s="152"/>
      <c r="HBJ5" s="152"/>
      <c r="HBK5" s="152"/>
      <c r="HBL5" s="152"/>
      <c r="HBM5" s="152"/>
      <c r="HBN5" s="152"/>
      <c r="HBO5" s="152"/>
      <c r="HBP5" s="152"/>
      <c r="HBQ5" s="152"/>
      <c r="HBR5" s="152"/>
      <c r="HBS5" s="152"/>
      <c r="HBT5" s="152"/>
      <c r="HBU5" s="152"/>
      <c r="HBV5" s="152"/>
      <c r="HBW5" s="152"/>
      <c r="HBX5" s="152"/>
      <c r="HBY5" s="152"/>
      <c r="HBZ5" s="152"/>
      <c r="HCA5" s="152"/>
      <c r="HCB5" s="152"/>
      <c r="HCC5" s="152"/>
      <c r="HCD5" s="152"/>
      <c r="HCE5" s="152"/>
      <c r="HCF5" s="152"/>
      <c r="HCG5" s="152"/>
      <c r="HCH5" s="152"/>
      <c r="HCI5" s="152"/>
      <c r="HCJ5" s="152"/>
      <c r="HCK5" s="152"/>
      <c r="HCL5" s="152"/>
      <c r="HCM5" s="152"/>
      <c r="HCN5" s="152"/>
      <c r="HCO5" s="152"/>
      <c r="HCP5" s="152"/>
      <c r="HCQ5" s="152"/>
      <c r="HCR5" s="152"/>
      <c r="HCS5" s="152"/>
      <c r="HCT5" s="152"/>
      <c r="HCU5" s="152"/>
      <c r="HCV5" s="152"/>
      <c r="HCW5" s="152"/>
      <c r="HCX5" s="152"/>
      <c r="HCY5" s="152"/>
      <c r="HCZ5" s="152"/>
      <c r="HDA5" s="152"/>
      <c r="HDB5" s="152"/>
      <c r="HDC5" s="152"/>
      <c r="HDD5" s="152"/>
      <c r="HDE5" s="152"/>
      <c r="HDF5" s="152"/>
      <c r="HDG5" s="152"/>
      <c r="HDH5" s="152"/>
      <c r="HDI5" s="152"/>
      <c r="HDJ5" s="152"/>
      <c r="HDK5" s="152"/>
      <c r="HDL5" s="152"/>
      <c r="HDM5" s="152"/>
      <c r="HDN5" s="152"/>
      <c r="HDO5" s="152"/>
      <c r="HDP5" s="152"/>
      <c r="HDQ5" s="152"/>
      <c r="HDR5" s="152"/>
      <c r="HDS5" s="152"/>
      <c r="HDT5" s="152"/>
      <c r="HDU5" s="152"/>
      <c r="HDV5" s="152"/>
      <c r="HDW5" s="152"/>
      <c r="HDX5" s="152"/>
      <c r="HDY5" s="152"/>
      <c r="HDZ5" s="152"/>
      <c r="HEA5" s="152"/>
      <c r="HEB5" s="152"/>
      <c r="HEC5" s="152"/>
      <c r="HED5" s="152"/>
      <c r="HEE5" s="152"/>
      <c r="HEF5" s="152"/>
      <c r="HEG5" s="152"/>
      <c r="HEH5" s="152"/>
      <c r="HEI5" s="152"/>
      <c r="HEJ5" s="152"/>
      <c r="HEK5" s="152"/>
      <c r="HEL5" s="152"/>
      <c r="HEM5" s="152"/>
      <c r="HEN5" s="152"/>
      <c r="HEO5" s="152"/>
      <c r="HEP5" s="152"/>
      <c r="HEQ5" s="152"/>
      <c r="HER5" s="152"/>
      <c r="HES5" s="152"/>
      <c r="HET5" s="152"/>
      <c r="HEU5" s="152"/>
      <c r="HEV5" s="152"/>
      <c r="HEW5" s="152"/>
      <c r="HEX5" s="152"/>
      <c r="HEY5" s="152"/>
      <c r="HEZ5" s="152"/>
      <c r="HFA5" s="152"/>
      <c r="HFB5" s="152"/>
      <c r="HFC5" s="152"/>
      <c r="HFD5" s="152"/>
      <c r="HFE5" s="152"/>
      <c r="HFF5" s="152"/>
      <c r="HFG5" s="152"/>
      <c r="HFH5" s="152"/>
      <c r="HFI5" s="152"/>
      <c r="HFJ5" s="152"/>
      <c r="HFK5" s="152"/>
      <c r="HFL5" s="152"/>
      <c r="HFM5" s="152"/>
      <c r="HFN5" s="152"/>
      <c r="HFO5" s="152"/>
      <c r="HFP5" s="152"/>
      <c r="HFQ5" s="152"/>
      <c r="HFR5" s="152"/>
      <c r="HFS5" s="152"/>
      <c r="HFT5" s="152"/>
      <c r="HFU5" s="152"/>
      <c r="HFV5" s="152"/>
      <c r="HFW5" s="152"/>
      <c r="HFX5" s="152"/>
      <c r="HFY5" s="152"/>
      <c r="HFZ5" s="152"/>
      <c r="HGA5" s="152"/>
      <c r="HGB5" s="152"/>
      <c r="HGC5" s="152"/>
      <c r="HGD5" s="152"/>
      <c r="HGE5" s="152"/>
      <c r="HGF5" s="152"/>
      <c r="HGG5" s="152"/>
      <c r="HGH5" s="152"/>
      <c r="HGI5" s="152"/>
      <c r="HGJ5" s="152"/>
      <c r="HGK5" s="152"/>
      <c r="HGL5" s="152"/>
      <c r="HGM5" s="152"/>
      <c r="HGN5" s="152"/>
      <c r="HGO5" s="152"/>
      <c r="HGP5" s="152"/>
      <c r="HGQ5" s="152"/>
      <c r="HGR5" s="152"/>
      <c r="HGS5" s="152"/>
      <c r="HGT5" s="152"/>
      <c r="HGU5" s="152"/>
      <c r="HGV5" s="152"/>
      <c r="HGW5" s="152"/>
      <c r="HGX5" s="152"/>
      <c r="HGY5" s="152"/>
      <c r="HGZ5" s="152"/>
      <c r="HHA5" s="152"/>
      <c r="HHB5" s="152"/>
      <c r="HHC5" s="152"/>
      <c r="HHD5" s="152"/>
      <c r="HHE5" s="152"/>
      <c r="HHF5" s="152"/>
      <c r="HHG5" s="152"/>
      <c r="HHH5" s="152"/>
      <c r="HHI5" s="152"/>
      <c r="HHJ5" s="152"/>
      <c r="HHK5" s="152"/>
      <c r="HHL5" s="152"/>
      <c r="HHM5" s="152"/>
      <c r="HHN5" s="152"/>
      <c r="HHO5" s="152"/>
      <c r="HHP5" s="152"/>
      <c r="HHQ5" s="152"/>
      <c r="HHR5" s="152"/>
      <c r="HHS5" s="152"/>
      <c r="HHT5" s="152"/>
      <c r="HHU5" s="152"/>
      <c r="HHV5" s="152"/>
      <c r="HHW5" s="152"/>
      <c r="HHX5" s="152"/>
      <c r="HHY5" s="152"/>
      <c r="HHZ5" s="152"/>
      <c r="HIA5" s="152"/>
      <c r="HIB5" s="152"/>
      <c r="HIC5" s="152"/>
      <c r="HID5" s="152"/>
      <c r="HIE5" s="152"/>
      <c r="HIF5" s="152"/>
      <c r="HIG5" s="152"/>
      <c r="HIH5" s="152"/>
      <c r="HII5" s="152"/>
      <c r="HIJ5" s="152"/>
      <c r="HIK5" s="152"/>
      <c r="HIL5" s="152"/>
      <c r="HIM5" s="152"/>
      <c r="HIN5" s="152"/>
      <c r="HIO5" s="152"/>
      <c r="HIP5" s="152"/>
      <c r="HIQ5" s="152"/>
      <c r="HIR5" s="152"/>
      <c r="HIS5" s="152"/>
      <c r="HIT5" s="152"/>
      <c r="HIU5" s="152"/>
      <c r="HIV5" s="152"/>
      <c r="HIW5" s="152"/>
      <c r="HIX5" s="152"/>
      <c r="HIY5" s="152"/>
      <c r="HIZ5" s="152"/>
      <c r="HJA5" s="152"/>
      <c r="HJB5" s="152"/>
      <c r="HJC5" s="152"/>
      <c r="HJD5" s="152"/>
      <c r="HJE5" s="152"/>
      <c r="HJF5" s="152"/>
      <c r="HJG5" s="152"/>
      <c r="HJH5" s="152"/>
      <c r="HJI5" s="152"/>
      <c r="HJJ5" s="152"/>
      <c r="HJK5" s="152"/>
      <c r="HJL5" s="152"/>
      <c r="HJM5" s="152"/>
      <c r="HJN5" s="152"/>
      <c r="HJO5" s="152"/>
      <c r="HJP5" s="152"/>
      <c r="HJQ5" s="152"/>
      <c r="HJR5" s="152"/>
      <c r="HJS5" s="152"/>
      <c r="HJT5" s="152"/>
      <c r="HJU5" s="152"/>
      <c r="HJV5" s="152"/>
      <c r="HJW5" s="152"/>
      <c r="HJX5" s="152"/>
      <c r="HJY5" s="152"/>
      <c r="HJZ5" s="152"/>
      <c r="HKA5" s="152"/>
      <c r="HKB5" s="152"/>
      <c r="HKC5" s="152"/>
      <c r="HKD5" s="152"/>
      <c r="HKE5" s="152"/>
      <c r="HKF5" s="152"/>
      <c r="HKG5" s="152"/>
      <c r="HKH5" s="152"/>
      <c r="HKI5" s="152"/>
      <c r="HKJ5" s="152"/>
      <c r="HKK5" s="152"/>
      <c r="HKL5" s="152"/>
      <c r="HKM5" s="152"/>
      <c r="HKN5" s="152"/>
      <c r="HKO5" s="152"/>
      <c r="HKP5" s="152"/>
      <c r="HKQ5" s="152"/>
      <c r="HKR5" s="152"/>
      <c r="HKS5" s="152"/>
      <c r="HKT5" s="152"/>
      <c r="HKU5" s="152"/>
      <c r="HKV5" s="152"/>
      <c r="HKW5" s="152"/>
      <c r="HKX5" s="152"/>
      <c r="HKY5" s="152"/>
      <c r="HKZ5" s="152"/>
      <c r="HLA5" s="152"/>
      <c r="HLB5" s="152"/>
      <c r="HLC5" s="152"/>
      <c r="HLD5" s="152"/>
      <c r="HLE5" s="152"/>
      <c r="HLF5" s="152"/>
      <c r="HLG5" s="152"/>
      <c r="HLH5" s="152"/>
      <c r="HLI5" s="152"/>
      <c r="HLJ5" s="152"/>
      <c r="HLK5" s="152"/>
      <c r="HLL5" s="152"/>
      <c r="HLM5" s="152"/>
      <c r="HLN5" s="152"/>
      <c r="HLO5" s="152"/>
      <c r="HLP5" s="152"/>
      <c r="HLQ5" s="152"/>
      <c r="HLR5" s="152"/>
      <c r="HLS5" s="152"/>
      <c r="HLT5" s="152"/>
      <c r="HLU5" s="152"/>
      <c r="HLV5" s="152"/>
      <c r="HLW5" s="152"/>
      <c r="HLX5" s="152"/>
      <c r="HLY5" s="152"/>
      <c r="HLZ5" s="152"/>
      <c r="HMA5" s="152"/>
      <c r="HMB5" s="152"/>
      <c r="HMC5" s="152"/>
      <c r="HMD5" s="152"/>
      <c r="HME5" s="152"/>
      <c r="HMF5" s="152"/>
      <c r="HMG5" s="152"/>
      <c r="HMH5" s="152"/>
      <c r="HMI5" s="152"/>
      <c r="HMJ5" s="152"/>
      <c r="HMK5" s="152"/>
      <c r="HML5" s="152"/>
      <c r="HMM5" s="152"/>
      <c r="HMN5" s="152"/>
      <c r="HMO5" s="152"/>
      <c r="HMP5" s="152"/>
      <c r="HMQ5" s="152"/>
      <c r="HMR5" s="152"/>
      <c r="HMS5" s="152"/>
      <c r="HMT5" s="152"/>
      <c r="HMU5" s="152"/>
      <c r="HMV5" s="152"/>
      <c r="HMW5" s="152"/>
      <c r="HMX5" s="152"/>
      <c r="HMY5" s="152"/>
      <c r="HMZ5" s="152"/>
      <c r="HNA5" s="152"/>
      <c r="HNB5" s="152"/>
      <c r="HNC5" s="152"/>
      <c r="HND5" s="152"/>
      <c r="HNE5" s="152"/>
      <c r="HNF5" s="152"/>
      <c r="HNG5" s="152"/>
      <c r="HNH5" s="152"/>
      <c r="HNI5" s="152"/>
      <c r="HNJ5" s="152"/>
      <c r="HNK5" s="152"/>
      <c r="HNL5" s="152"/>
      <c r="HNM5" s="152"/>
      <c r="HNN5" s="152"/>
      <c r="HNO5" s="152"/>
      <c r="HNP5" s="152"/>
      <c r="HNQ5" s="152"/>
      <c r="HNR5" s="152"/>
      <c r="HNS5" s="152"/>
      <c r="HNT5" s="152"/>
      <c r="HNU5" s="152"/>
      <c r="HNV5" s="152"/>
      <c r="HNW5" s="152"/>
      <c r="HNX5" s="152"/>
      <c r="HNY5" s="152"/>
      <c r="HNZ5" s="152"/>
      <c r="HOA5" s="152"/>
      <c r="HOB5" s="152"/>
      <c r="HOC5" s="152"/>
      <c r="HOD5" s="152"/>
      <c r="HOE5" s="152"/>
      <c r="HOF5" s="152"/>
      <c r="HOG5" s="152"/>
      <c r="HOH5" s="152"/>
      <c r="HOI5" s="152"/>
      <c r="HOJ5" s="152"/>
      <c r="HOK5" s="152"/>
      <c r="HOL5" s="152"/>
      <c r="HOM5" s="152"/>
      <c r="HON5" s="152"/>
      <c r="HOO5" s="152"/>
      <c r="HOP5" s="152"/>
      <c r="HOQ5" s="152"/>
      <c r="HOR5" s="152"/>
      <c r="HOS5" s="152"/>
      <c r="HOT5" s="152"/>
      <c r="HOU5" s="152"/>
      <c r="HOV5" s="152"/>
      <c r="HOW5" s="152"/>
      <c r="HOX5" s="152"/>
      <c r="HOY5" s="152"/>
      <c r="HOZ5" s="152"/>
      <c r="HPA5" s="152"/>
      <c r="HPB5" s="152"/>
      <c r="HPC5" s="152"/>
      <c r="HPD5" s="152"/>
      <c r="HPE5" s="152"/>
      <c r="HPF5" s="152"/>
      <c r="HPG5" s="152"/>
      <c r="HPH5" s="152"/>
      <c r="HPI5" s="152"/>
      <c r="HPJ5" s="152"/>
      <c r="HPK5" s="152"/>
      <c r="HPL5" s="152"/>
      <c r="HPM5" s="152"/>
      <c r="HPN5" s="152"/>
      <c r="HPO5" s="152"/>
      <c r="HPP5" s="152"/>
      <c r="HPQ5" s="152"/>
      <c r="HPR5" s="152"/>
      <c r="HPS5" s="152"/>
      <c r="HPT5" s="152"/>
      <c r="HPU5" s="152"/>
      <c r="HPV5" s="152"/>
      <c r="HPW5" s="152"/>
      <c r="HPX5" s="152"/>
      <c r="HPY5" s="152"/>
      <c r="HPZ5" s="152"/>
      <c r="HQA5" s="152"/>
      <c r="HQB5" s="152"/>
      <c r="HQC5" s="152"/>
      <c r="HQD5" s="152"/>
      <c r="HQE5" s="152"/>
      <c r="HQF5" s="152"/>
      <c r="HQG5" s="152"/>
      <c r="HQH5" s="152"/>
      <c r="HQI5" s="152"/>
      <c r="HQJ5" s="152"/>
      <c r="HQK5" s="152"/>
      <c r="HQL5" s="152"/>
      <c r="HQM5" s="152"/>
      <c r="HQN5" s="152"/>
      <c r="HQO5" s="152"/>
      <c r="HQP5" s="152"/>
      <c r="HQQ5" s="152"/>
      <c r="HQR5" s="152"/>
      <c r="HQS5" s="152"/>
      <c r="HQT5" s="152"/>
      <c r="HQU5" s="152"/>
      <c r="HQV5" s="152"/>
      <c r="HQW5" s="152"/>
      <c r="HQX5" s="152"/>
      <c r="HQY5" s="152"/>
      <c r="HQZ5" s="152"/>
      <c r="HRA5" s="152"/>
      <c r="HRB5" s="152"/>
      <c r="HRC5" s="152"/>
      <c r="HRD5" s="152"/>
      <c r="HRE5" s="152"/>
      <c r="HRF5" s="152"/>
      <c r="HRG5" s="152"/>
      <c r="HRH5" s="152"/>
      <c r="HRI5" s="152"/>
      <c r="HRJ5" s="152"/>
      <c r="HRK5" s="152"/>
      <c r="HRL5" s="152"/>
      <c r="HRM5" s="152"/>
      <c r="HRN5" s="152"/>
      <c r="HRO5" s="152"/>
      <c r="HRP5" s="152"/>
      <c r="HRQ5" s="152"/>
      <c r="HRR5" s="152"/>
      <c r="HRS5" s="152"/>
      <c r="HRT5" s="152"/>
      <c r="HRU5" s="152"/>
      <c r="HRV5" s="152"/>
      <c r="HRW5" s="152"/>
      <c r="HRX5" s="152"/>
      <c r="HRY5" s="152"/>
      <c r="HRZ5" s="152"/>
      <c r="HSA5" s="152"/>
      <c r="HSB5" s="152"/>
      <c r="HSC5" s="152"/>
      <c r="HSD5" s="152"/>
      <c r="HSE5" s="152"/>
      <c r="HSF5" s="152"/>
      <c r="HSG5" s="152"/>
      <c r="HSH5" s="152"/>
      <c r="HSI5" s="152"/>
      <c r="HSJ5" s="152"/>
      <c r="HSK5" s="152"/>
      <c r="HSL5" s="152"/>
      <c r="HSM5" s="152"/>
      <c r="HSN5" s="152"/>
      <c r="HSO5" s="152"/>
      <c r="HSP5" s="152"/>
      <c r="HSQ5" s="152"/>
      <c r="HSR5" s="152"/>
      <c r="HSS5" s="152"/>
      <c r="HST5" s="152"/>
      <c r="HSU5" s="152"/>
      <c r="HSV5" s="152"/>
      <c r="HSW5" s="152"/>
      <c r="HSX5" s="152"/>
      <c r="HSY5" s="152"/>
      <c r="HSZ5" s="152"/>
      <c r="HTA5" s="152"/>
      <c r="HTB5" s="152"/>
      <c r="HTC5" s="152"/>
      <c r="HTD5" s="152"/>
      <c r="HTE5" s="152"/>
      <c r="HTF5" s="152"/>
      <c r="HTG5" s="152"/>
      <c r="HTH5" s="152"/>
      <c r="HTI5" s="152"/>
      <c r="HTJ5" s="152"/>
      <c r="HTK5" s="152"/>
      <c r="HTL5" s="152"/>
      <c r="HTM5" s="152"/>
      <c r="HTN5" s="152"/>
      <c r="HTO5" s="152"/>
      <c r="HTP5" s="152"/>
      <c r="HTQ5" s="152"/>
      <c r="HTR5" s="152"/>
      <c r="HTS5" s="152"/>
      <c r="HTT5" s="152"/>
      <c r="HTU5" s="152"/>
      <c r="HTV5" s="152"/>
      <c r="HTW5" s="152"/>
      <c r="HTX5" s="152"/>
      <c r="HTY5" s="152"/>
      <c r="HTZ5" s="152"/>
      <c r="HUA5" s="152"/>
      <c r="HUB5" s="152"/>
      <c r="HUC5" s="152"/>
      <c r="HUD5" s="152"/>
      <c r="HUE5" s="152"/>
      <c r="HUF5" s="152"/>
      <c r="HUG5" s="152"/>
      <c r="HUH5" s="152"/>
      <c r="HUI5" s="152"/>
      <c r="HUJ5" s="152"/>
      <c r="HUK5" s="152"/>
      <c r="HUL5" s="152"/>
      <c r="HUM5" s="152"/>
      <c r="HUN5" s="152"/>
      <c r="HUO5" s="152"/>
      <c r="HUP5" s="152"/>
      <c r="HUQ5" s="152"/>
      <c r="HUR5" s="152"/>
      <c r="HUS5" s="152"/>
      <c r="HUT5" s="152"/>
      <c r="HUU5" s="152"/>
      <c r="HUV5" s="152"/>
      <c r="HUW5" s="152"/>
      <c r="HUX5" s="152"/>
      <c r="HUY5" s="152"/>
      <c r="HUZ5" s="152"/>
      <c r="HVA5" s="152"/>
      <c r="HVB5" s="152"/>
      <c r="HVC5" s="152"/>
      <c r="HVD5" s="152"/>
      <c r="HVE5" s="152"/>
      <c r="HVF5" s="152"/>
      <c r="HVG5" s="152"/>
      <c r="HVH5" s="152"/>
      <c r="HVI5" s="152"/>
      <c r="HVJ5" s="152"/>
      <c r="HVK5" s="152"/>
      <c r="HVL5" s="152"/>
      <c r="HVM5" s="152"/>
      <c r="HVN5" s="152"/>
      <c r="HVO5" s="152"/>
      <c r="HVP5" s="152"/>
      <c r="HVQ5" s="152"/>
      <c r="HVR5" s="152"/>
      <c r="HVS5" s="152"/>
      <c r="HVT5" s="152"/>
      <c r="HVU5" s="152"/>
      <c r="HVV5" s="152"/>
      <c r="HVW5" s="152"/>
      <c r="HVX5" s="152"/>
      <c r="HVY5" s="152"/>
      <c r="HVZ5" s="152"/>
      <c r="HWA5" s="152"/>
      <c r="HWB5" s="152"/>
      <c r="HWC5" s="152"/>
      <c r="HWD5" s="152"/>
      <c r="HWE5" s="152"/>
      <c r="HWF5" s="152"/>
      <c r="HWG5" s="152"/>
      <c r="HWH5" s="152"/>
      <c r="HWI5" s="152"/>
      <c r="HWJ5" s="152"/>
      <c r="HWK5" s="152"/>
      <c r="HWL5" s="152"/>
      <c r="HWM5" s="152"/>
      <c r="HWN5" s="152"/>
      <c r="HWO5" s="152"/>
      <c r="HWP5" s="152"/>
      <c r="HWQ5" s="152"/>
      <c r="HWR5" s="152"/>
      <c r="HWS5" s="152"/>
      <c r="HWT5" s="152"/>
      <c r="HWU5" s="152"/>
      <c r="HWV5" s="152"/>
      <c r="HWW5" s="152"/>
      <c r="HWX5" s="152"/>
      <c r="HWY5" s="152"/>
      <c r="HWZ5" s="152"/>
      <c r="HXA5" s="152"/>
      <c r="HXB5" s="152"/>
      <c r="HXC5" s="152"/>
      <c r="HXD5" s="152"/>
      <c r="HXE5" s="152"/>
      <c r="HXF5" s="152"/>
      <c r="HXG5" s="152"/>
      <c r="HXH5" s="152"/>
      <c r="HXI5" s="152"/>
      <c r="HXJ5" s="152"/>
      <c r="HXK5" s="152"/>
      <c r="HXL5" s="152"/>
      <c r="HXM5" s="152"/>
      <c r="HXN5" s="152"/>
      <c r="HXO5" s="152"/>
      <c r="HXP5" s="152"/>
      <c r="HXQ5" s="152"/>
      <c r="HXR5" s="152"/>
      <c r="HXS5" s="152"/>
      <c r="HXT5" s="152"/>
      <c r="HXU5" s="152"/>
      <c r="HXV5" s="152"/>
      <c r="HXW5" s="152"/>
      <c r="HXX5" s="152"/>
      <c r="HXY5" s="152"/>
      <c r="HXZ5" s="152"/>
      <c r="HYA5" s="152"/>
      <c r="HYB5" s="152"/>
      <c r="HYC5" s="152"/>
      <c r="HYD5" s="152"/>
      <c r="HYE5" s="152"/>
      <c r="HYF5" s="152"/>
      <c r="HYG5" s="152"/>
      <c r="HYH5" s="152"/>
      <c r="HYI5" s="152"/>
      <c r="HYJ5" s="152"/>
      <c r="HYK5" s="152"/>
      <c r="HYL5" s="152"/>
      <c r="HYM5" s="152"/>
      <c r="HYN5" s="152"/>
      <c r="HYO5" s="152"/>
      <c r="HYP5" s="152"/>
      <c r="HYQ5" s="152"/>
      <c r="HYR5" s="152"/>
      <c r="HYS5" s="152"/>
      <c r="HYT5" s="152"/>
      <c r="HYU5" s="152"/>
      <c r="HYV5" s="152"/>
      <c r="HYW5" s="152"/>
      <c r="HYX5" s="152"/>
      <c r="HYY5" s="152"/>
      <c r="HYZ5" s="152"/>
      <c r="HZA5" s="152"/>
      <c r="HZB5" s="152"/>
      <c r="HZC5" s="152"/>
      <c r="HZD5" s="152"/>
      <c r="HZE5" s="152"/>
      <c r="HZF5" s="152"/>
      <c r="HZG5" s="152"/>
      <c r="HZH5" s="152"/>
      <c r="HZI5" s="152"/>
      <c r="HZJ5" s="152"/>
      <c r="HZK5" s="152"/>
      <c r="HZL5" s="152"/>
      <c r="HZM5" s="152"/>
      <c r="HZN5" s="152"/>
      <c r="HZO5" s="152"/>
      <c r="HZP5" s="152"/>
      <c r="HZQ5" s="152"/>
      <c r="HZR5" s="152"/>
      <c r="HZS5" s="152"/>
      <c r="HZT5" s="152"/>
      <c r="HZU5" s="152"/>
      <c r="HZV5" s="152"/>
      <c r="HZW5" s="152"/>
      <c r="HZX5" s="152"/>
      <c r="HZY5" s="152"/>
      <c r="HZZ5" s="152"/>
      <c r="IAA5" s="152"/>
      <c r="IAB5" s="152"/>
      <c r="IAC5" s="152"/>
      <c r="IAD5" s="152"/>
      <c r="IAE5" s="152"/>
      <c r="IAF5" s="152"/>
      <c r="IAG5" s="152"/>
      <c r="IAH5" s="152"/>
      <c r="IAI5" s="152"/>
      <c r="IAJ5" s="152"/>
      <c r="IAK5" s="152"/>
      <c r="IAL5" s="152"/>
      <c r="IAM5" s="152"/>
      <c r="IAN5" s="152"/>
      <c r="IAO5" s="152"/>
      <c r="IAP5" s="152"/>
      <c r="IAQ5" s="152"/>
      <c r="IAR5" s="152"/>
      <c r="IAS5" s="152"/>
      <c r="IAT5" s="152"/>
      <c r="IAU5" s="152"/>
      <c r="IAV5" s="152"/>
      <c r="IAW5" s="152"/>
      <c r="IAX5" s="152"/>
      <c r="IAY5" s="152"/>
      <c r="IAZ5" s="152"/>
      <c r="IBA5" s="152"/>
      <c r="IBB5" s="152"/>
      <c r="IBC5" s="152"/>
      <c r="IBD5" s="152"/>
      <c r="IBE5" s="152"/>
      <c r="IBF5" s="152"/>
      <c r="IBG5" s="152"/>
      <c r="IBH5" s="152"/>
      <c r="IBI5" s="152"/>
      <c r="IBJ5" s="152"/>
      <c r="IBK5" s="152"/>
      <c r="IBL5" s="152"/>
      <c r="IBM5" s="152"/>
      <c r="IBN5" s="152"/>
      <c r="IBO5" s="152"/>
      <c r="IBP5" s="152"/>
      <c r="IBQ5" s="152"/>
      <c r="IBR5" s="152"/>
      <c r="IBS5" s="152"/>
      <c r="IBT5" s="152"/>
      <c r="IBU5" s="152"/>
      <c r="IBV5" s="152"/>
      <c r="IBW5" s="152"/>
      <c r="IBX5" s="152"/>
      <c r="IBY5" s="152"/>
      <c r="IBZ5" s="152"/>
      <c r="ICA5" s="152"/>
      <c r="ICB5" s="152"/>
      <c r="ICC5" s="152"/>
      <c r="ICD5" s="152"/>
      <c r="ICE5" s="152"/>
      <c r="ICF5" s="152"/>
      <c r="ICG5" s="152"/>
      <c r="ICH5" s="152"/>
      <c r="ICI5" s="152"/>
      <c r="ICJ5" s="152"/>
      <c r="ICK5" s="152"/>
      <c r="ICL5" s="152"/>
      <c r="ICM5" s="152"/>
      <c r="ICN5" s="152"/>
      <c r="ICO5" s="152"/>
      <c r="ICP5" s="152"/>
      <c r="ICQ5" s="152"/>
      <c r="ICR5" s="152"/>
      <c r="ICS5" s="152"/>
      <c r="ICT5" s="152"/>
      <c r="ICU5" s="152"/>
      <c r="ICV5" s="152"/>
      <c r="ICW5" s="152"/>
      <c r="ICX5" s="152"/>
      <c r="ICY5" s="152"/>
      <c r="ICZ5" s="152"/>
      <c r="IDA5" s="152"/>
      <c r="IDB5" s="152"/>
      <c r="IDC5" s="152"/>
      <c r="IDD5" s="152"/>
      <c r="IDE5" s="152"/>
      <c r="IDF5" s="152"/>
      <c r="IDG5" s="152"/>
      <c r="IDH5" s="152"/>
      <c r="IDI5" s="152"/>
      <c r="IDJ5" s="152"/>
      <c r="IDK5" s="152"/>
      <c r="IDL5" s="152"/>
      <c r="IDM5" s="152"/>
      <c r="IDN5" s="152"/>
      <c r="IDO5" s="152"/>
      <c r="IDP5" s="152"/>
      <c r="IDQ5" s="152"/>
      <c r="IDR5" s="152"/>
      <c r="IDS5" s="152"/>
      <c r="IDT5" s="152"/>
      <c r="IDU5" s="152"/>
      <c r="IDV5" s="152"/>
      <c r="IDW5" s="152"/>
      <c r="IDX5" s="152"/>
      <c r="IDY5" s="152"/>
      <c r="IDZ5" s="152"/>
      <c r="IEA5" s="152"/>
      <c r="IEB5" s="152"/>
      <c r="IEC5" s="152"/>
      <c r="IED5" s="152"/>
      <c r="IEE5" s="152"/>
      <c r="IEF5" s="152"/>
      <c r="IEG5" s="152"/>
      <c r="IEH5" s="152"/>
      <c r="IEI5" s="152"/>
      <c r="IEJ5" s="152"/>
      <c r="IEK5" s="152"/>
      <c r="IEL5" s="152"/>
      <c r="IEM5" s="152"/>
      <c r="IEN5" s="152"/>
      <c r="IEO5" s="152"/>
      <c r="IEP5" s="152"/>
      <c r="IEQ5" s="152"/>
      <c r="IER5" s="152"/>
      <c r="IES5" s="152"/>
      <c r="IET5" s="152"/>
      <c r="IEU5" s="152"/>
      <c r="IEV5" s="152"/>
      <c r="IEW5" s="152"/>
      <c r="IEX5" s="152"/>
      <c r="IEY5" s="152"/>
      <c r="IEZ5" s="152"/>
      <c r="IFA5" s="152"/>
      <c r="IFB5" s="152"/>
      <c r="IFC5" s="152"/>
      <c r="IFD5" s="152"/>
      <c r="IFE5" s="152"/>
      <c r="IFF5" s="152"/>
      <c r="IFG5" s="152"/>
      <c r="IFH5" s="152"/>
      <c r="IFI5" s="152"/>
      <c r="IFJ5" s="152"/>
      <c r="IFK5" s="152"/>
      <c r="IFL5" s="152"/>
      <c r="IFM5" s="152"/>
      <c r="IFN5" s="152"/>
      <c r="IFO5" s="152"/>
      <c r="IFP5" s="152"/>
      <c r="IFQ5" s="152"/>
      <c r="IFR5" s="152"/>
      <c r="IFS5" s="152"/>
      <c r="IFT5" s="152"/>
      <c r="IFU5" s="152"/>
      <c r="IFV5" s="152"/>
      <c r="IFW5" s="152"/>
      <c r="IFX5" s="152"/>
      <c r="IFY5" s="152"/>
      <c r="IFZ5" s="152"/>
      <c r="IGA5" s="152"/>
      <c r="IGB5" s="152"/>
      <c r="IGC5" s="152"/>
      <c r="IGD5" s="152"/>
      <c r="IGE5" s="152"/>
      <c r="IGF5" s="152"/>
      <c r="IGG5" s="152"/>
      <c r="IGH5" s="152"/>
      <c r="IGI5" s="152"/>
      <c r="IGJ5" s="152"/>
      <c r="IGK5" s="152"/>
      <c r="IGL5" s="152"/>
      <c r="IGM5" s="152"/>
      <c r="IGN5" s="152"/>
      <c r="IGO5" s="152"/>
      <c r="IGP5" s="152"/>
      <c r="IGQ5" s="152"/>
      <c r="IGR5" s="152"/>
      <c r="IGS5" s="152"/>
      <c r="IGT5" s="152"/>
      <c r="IGU5" s="152"/>
      <c r="IGV5" s="152"/>
      <c r="IGW5" s="152"/>
      <c r="IGX5" s="152"/>
      <c r="IGY5" s="152"/>
      <c r="IGZ5" s="152"/>
      <c r="IHA5" s="152"/>
      <c r="IHB5" s="152"/>
      <c r="IHC5" s="152"/>
      <c r="IHD5" s="152"/>
      <c r="IHE5" s="152"/>
      <c r="IHF5" s="152"/>
      <c r="IHG5" s="152"/>
      <c r="IHH5" s="152"/>
      <c r="IHI5" s="152"/>
      <c r="IHJ5" s="152"/>
      <c r="IHK5" s="152"/>
      <c r="IHL5" s="152"/>
      <c r="IHM5" s="152"/>
      <c r="IHN5" s="152"/>
      <c r="IHO5" s="152"/>
      <c r="IHP5" s="152"/>
      <c r="IHQ5" s="152"/>
      <c r="IHR5" s="152"/>
      <c r="IHS5" s="152"/>
      <c r="IHT5" s="152"/>
      <c r="IHU5" s="152"/>
      <c r="IHV5" s="152"/>
      <c r="IHW5" s="152"/>
      <c r="IHX5" s="152"/>
      <c r="IHY5" s="152"/>
      <c r="IHZ5" s="152"/>
      <c r="IIA5" s="152"/>
      <c r="IIB5" s="152"/>
      <c r="IIC5" s="152"/>
      <c r="IID5" s="152"/>
      <c r="IIE5" s="152"/>
      <c r="IIF5" s="152"/>
      <c r="IIG5" s="152"/>
      <c r="IIH5" s="152"/>
      <c r="III5" s="152"/>
      <c r="IIJ5" s="152"/>
      <c r="IIK5" s="152"/>
      <c r="IIL5" s="152"/>
      <c r="IIM5" s="152"/>
      <c r="IIN5" s="152"/>
      <c r="IIO5" s="152"/>
      <c r="IIP5" s="152"/>
      <c r="IIQ5" s="152"/>
      <c r="IIR5" s="152"/>
      <c r="IIS5" s="152"/>
      <c r="IIT5" s="152"/>
      <c r="IIU5" s="152"/>
      <c r="IIV5" s="152"/>
      <c r="IIW5" s="152"/>
      <c r="IIX5" s="152"/>
      <c r="IIY5" s="152"/>
      <c r="IIZ5" s="152"/>
      <c r="IJA5" s="152"/>
      <c r="IJB5" s="152"/>
      <c r="IJC5" s="152"/>
      <c r="IJD5" s="152"/>
      <c r="IJE5" s="152"/>
      <c r="IJF5" s="152"/>
      <c r="IJG5" s="152"/>
      <c r="IJH5" s="152"/>
      <c r="IJI5" s="152"/>
      <c r="IJJ5" s="152"/>
      <c r="IJK5" s="152"/>
      <c r="IJL5" s="152"/>
      <c r="IJM5" s="152"/>
      <c r="IJN5" s="152"/>
      <c r="IJO5" s="152"/>
      <c r="IJP5" s="152"/>
      <c r="IJQ5" s="152"/>
      <c r="IJR5" s="152"/>
      <c r="IJS5" s="152"/>
      <c r="IJT5" s="152"/>
      <c r="IJU5" s="152"/>
      <c r="IJV5" s="152"/>
      <c r="IJW5" s="152"/>
      <c r="IJX5" s="152"/>
      <c r="IJY5" s="152"/>
      <c r="IJZ5" s="152"/>
      <c r="IKA5" s="152"/>
      <c r="IKB5" s="152"/>
      <c r="IKC5" s="152"/>
      <c r="IKD5" s="152"/>
      <c r="IKE5" s="152"/>
      <c r="IKF5" s="152"/>
      <c r="IKG5" s="152"/>
      <c r="IKH5" s="152"/>
      <c r="IKI5" s="152"/>
      <c r="IKJ5" s="152"/>
      <c r="IKK5" s="152"/>
      <c r="IKL5" s="152"/>
      <c r="IKM5" s="152"/>
      <c r="IKN5" s="152"/>
      <c r="IKO5" s="152"/>
      <c r="IKP5" s="152"/>
      <c r="IKQ5" s="152"/>
      <c r="IKR5" s="152"/>
      <c r="IKS5" s="152"/>
      <c r="IKT5" s="152"/>
      <c r="IKU5" s="152"/>
      <c r="IKV5" s="152"/>
      <c r="IKW5" s="152"/>
      <c r="IKX5" s="152"/>
      <c r="IKY5" s="152"/>
      <c r="IKZ5" s="152"/>
      <c r="ILA5" s="152"/>
      <c r="ILB5" s="152"/>
      <c r="ILC5" s="152"/>
      <c r="ILD5" s="152"/>
      <c r="ILE5" s="152"/>
      <c r="ILF5" s="152"/>
      <c r="ILG5" s="152"/>
      <c r="ILH5" s="152"/>
      <c r="ILI5" s="152"/>
      <c r="ILJ5" s="152"/>
      <c r="ILK5" s="152"/>
      <c r="ILL5" s="152"/>
      <c r="ILM5" s="152"/>
      <c r="ILN5" s="152"/>
      <c r="ILO5" s="152"/>
      <c r="ILP5" s="152"/>
      <c r="ILQ5" s="152"/>
      <c r="ILR5" s="152"/>
      <c r="ILS5" s="152"/>
      <c r="ILT5" s="152"/>
      <c r="ILU5" s="152"/>
      <c r="ILV5" s="152"/>
      <c r="ILW5" s="152"/>
      <c r="ILX5" s="152"/>
      <c r="ILY5" s="152"/>
      <c r="ILZ5" s="152"/>
      <c r="IMA5" s="152"/>
      <c r="IMB5" s="152"/>
      <c r="IMC5" s="152"/>
      <c r="IMD5" s="152"/>
      <c r="IME5" s="152"/>
      <c r="IMF5" s="152"/>
      <c r="IMG5" s="152"/>
      <c r="IMH5" s="152"/>
      <c r="IMI5" s="152"/>
      <c r="IMJ5" s="152"/>
      <c r="IMK5" s="152"/>
      <c r="IML5" s="152"/>
      <c r="IMM5" s="152"/>
      <c r="IMN5" s="152"/>
      <c r="IMO5" s="152"/>
      <c r="IMP5" s="152"/>
      <c r="IMQ5" s="152"/>
      <c r="IMR5" s="152"/>
      <c r="IMS5" s="152"/>
      <c r="IMT5" s="152"/>
      <c r="IMU5" s="152"/>
      <c r="IMV5" s="152"/>
      <c r="IMW5" s="152"/>
      <c r="IMX5" s="152"/>
      <c r="IMY5" s="152"/>
      <c r="IMZ5" s="152"/>
      <c r="INA5" s="152"/>
      <c r="INB5" s="152"/>
      <c r="INC5" s="152"/>
      <c r="IND5" s="152"/>
      <c r="INE5" s="152"/>
      <c r="INF5" s="152"/>
      <c r="ING5" s="152"/>
      <c r="INH5" s="152"/>
      <c r="INI5" s="152"/>
      <c r="INJ5" s="152"/>
      <c r="INK5" s="152"/>
      <c r="INL5" s="152"/>
      <c r="INM5" s="152"/>
      <c r="INN5" s="152"/>
      <c r="INO5" s="152"/>
      <c r="INP5" s="152"/>
      <c r="INQ5" s="152"/>
      <c r="INR5" s="152"/>
      <c r="INS5" s="152"/>
      <c r="INT5" s="152"/>
      <c r="INU5" s="152"/>
      <c r="INV5" s="152"/>
      <c r="INW5" s="152"/>
      <c r="INX5" s="152"/>
      <c r="INY5" s="152"/>
      <c r="INZ5" s="152"/>
      <c r="IOA5" s="152"/>
      <c r="IOB5" s="152"/>
      <c r="IOC5" s="152"/>
      <c r="IOD5" s="152"/>
      <c r="IOE5" s="152"/>
      <c r="IOF5" s="152"/>
      <c r="IOG5" s="152"/>
      <c r="IOH5" s="152"/>
      <c r="IOI5" s="152"/>
      <c r="IOJ5" s="152"/>
      <c r="IOK5" s="152"/>
      <c r="IOL5" s="152"/>
      <c r="IOM5" s="152"/>
      <c r="ION5" s="152"/>
      <c r="IOO5" s="152"/>
      <c r="IOP5" s="152"/>
      <c r="IOQ5" s="152"/>
      <c r="IOR5" s="152"/>
      <c r="IOS5" s="152"/>
      <c r="IOT5" s="152"/>
      <c r="IOU5" s="152"/>
      <c r="IOV5" s="152"/>
      <c r="IOW5" s="152"/>
      <c r="IOX5" s="152"/>
      <c r="IOY5" s="152"/>
      <c r="IOZ5" s="152"/>
      <c r="IPA5" s="152"/>
      <c r="IPB5" s="152"/>
      <c r="IPC5" s="152"/>
      <c r="IPD5" s="152"/>
      <c r="IPE5" s="152"/>
      <c r="IPF5" s="152"/>
      <c r="IPG5" s="152"/>
      <c r="IPH5" s="152"/>
      <c r="IPI5" s="152"/>
      <c r="IPJ5" s="152"/>
      <c r="IPK5" s="152"/>
      <c r="IPL5" s="152"/>
      <c r="IPM5" s="152"/>
      <c r="IPN5" s="152"/>
      <c r="IPO5" s="152"/>
      <c r="IPP5" s="152"/>
      <c r="IPQ5" s="152"/>
      <c r="IPR5" s="152"/>
      <c r="IPS5" s="152"/>
      <c r="IPT5" s="152"/>
      <c r="IPU5" s="152"/>
      <c r="IPV5" s="152"/>
      <c r="IPW5" s="152"/>
      <c r="IPX5" s="152"/>
      <c r="IPY5" s="152"/>
      <c r="IPZ5" s="152"/>
      <c r="IQA5" s="152"/>
      <c r="IQB5" s="152"/>
      <c r="IQC5" s="152"/>
      <c r="IQD5" s="152"/>
      <c r="IQE5" s="152"/>
      <c r="IQF5" s="152"/>
      <c r="IQG5" s="152"/>
      <c r="IQH5" s="152"/>
      <c r="IQI5" s="152"/>
      <c r="IQJ5" s="152"/>
      <c r="IQK5" s="152"/>
      <c r="IQL5" s="152"/>
      <c r="IQM5" s="152"/>
      <c r="IQN5" s="152"/>
      <c r="IQO5" s="152"/>
      <c r="IQP5" s="152"/>
      <c r="IQQ5" s="152"/>
      <c r="IQR5" s="152"/>
      <c r="IQS5" s="152"/>
      <c r="IQT5" s="152"/>
      <c r="IQU5" s="152"/>
      <c r="IQV5" s="152"/>
      <c r="IQW5" s="152"/>
      <c r="IQX5" s="152"/>
      <c r="IQY5" s="152"/>
      <c r="IQZ5" s="152"/>
      <c r="IRA5" s="152"/>
      <c r="IRB5" s="152"/>
      <c r="IRC5" s="152"/>
      <c r="IRD5" s="152"/>
      <c r="IRE5" s="152"/>
      <c r="IRF5" s="152"/>
      <c r="IRG5" s="152"/>
      <c r="IRH5" s="152"/>
      <c r="IRI5" s="152"/>
      <c r="IRJ5" s="152"/>
      <c r="IRK5" s="152"/>
      <c r="IRL5" s="152"/>
      <c r="IRM5" s="152"/>
      <c r="IRN5" s="152"/>
      <c r="IRO5" s="152"/>
      <c r="IRP5" s="152"/>
      <c r="IRQ5" s="152"/>
      <c r="IRR5" s="152"/>
      <c r="IRS5" s="152"/>
      <c r="IRT5" s="152"/>
      <c r="IRU5" s="152"/>
      <c r="IRV5" s="152"/>
      <c r="IRW5" s="152"/>
      <c r="IRX5" s="152"/>
      <c r="IRY5" s="152"/>
      <c r="IRZ5" s="152"/>
      <c r="ISA5" s="152"/>
      <c r="ISB5" s="152"/>
      <c r="ISC5" s="152"/>
      <c r="ISD5" s="152"/>
      <c r="ISE5" s="152"/>
      <c r="ISF5" s="152"/>
      <c r="ISG5" s="152"/>
      <c r="ISH5" s="152"/>
      <c r="ISI5" s="152"/>
      <c r="ISJ5" s="152"/>
      <c r="ISK5" s="152"/>
      <c r="ISL5" s="152"/>
      <c r="ISM5" s="152"/>
      <c r="ISN5" s="152"/>
      <c r="ISO5" s="152"/>
      <c r="ISP5" s="152"/>
      <c r="ISQ5" s="152"/>
      <c r="ISR5" s="152"/>
      <c r="ISS5" s="152"/>
      <c r="IST5" s="152"/>
      <c r="ISU5" s="152"/>
      <c r="ISV5" s="152"/>
      <c r="ISW5" s="152"/>
      <c r="ISX5" s="152"/>
      <c r="ISY5" s="152"/>
      <c r="ISZ5" s="152"/>
      <c r="ITA5" s="152"/>
      <c r="ITB5" s="152"/>
      <c r="ITC5" s="152"/>
      <c r="ITD5" s="152"/>
      <c r="ITE5" s="152"/>
      <c r="ITF5" s="152"/>
      <c r="ITG5" s="152"/>
      <c r="ITH5" s="152"/>
      <c r="ITI5" s="152"/>
      <c r="ITJ5" s="152"/>
      <c r="ITK5" s="152"/>
      <c r="ITL5" s="152"/>
      <c r="ITM5" s="152"/>
      <c r="ITN5" s="152"/>
      <c r="ITO5" s="152"/>
      <c r="ITP5" s="152"/>
      <c r="ITQ5" s="152"/>
      <c r="ITR5" s="152"/>
      <c r="ITS5" s="152"/>
      <c r="ITT5" s="152"/>
      <c r="ITU5" s="152"/>
      <c r="ITV5" s="152"/>
      <c r="ITW5" s="152"/>
      <c r="ITX5" s="152"/>
      <c r="ITY5" s="152"/>
      <c r="ITZ5" s="152"/>
      <c r="IUA5" s="152"/>
      <c r="IUB5" s="152"/>
      <c r="IUC5" s="152"/>
      <c r="IUD5" s="152"/>
      <c r="IUE5" s="152"/>
      <c r="IUF5" s="152"/>
      <c r="IUG5" s="152"/>
      <c r="IUH5" s="152"/>
      <c r="IUI5" s="152"/>
      <c r="IUJ5" s="152"/>
      <c r="IUK5" s="152"/>
      <c r="IUL5" s="152"/>
      <c r="IUM5" s="152"/>
      <c r="IUN5" s="152"/>
      <c r="IUO5" s="152"/>
      <c r="IUP5" s="152"/>
      <c r="IUQ5" s="152"/>
      <c r="IUR5" s="152"/>
      <c r="IUS5" s="152"/>
      <c r="IUT5" s="152"/>
      <c r="IUU5" s="152"/>
      <c r="IUV5" s="152"/>
      <c r="IUW5" s="152"/>
      <c r="IUX5" s="152"/>
      <c r="IUY5" s="152"/>
      <c r="IUZ5" s="152"/>
      <c r="IVA5" s="152"/>
      <c r="IVB5" s="152"/>
      <c r="IVC5" s="152"/>
      <c r="IVD5" s="152"/>
      <c r="IVE5" s="152"/>
      <c r="IVF5" s="152"/>
      <c r="IVG5" s="152"/>
      <c r="IVH5" s="152"/>
      <c r="IVI5" s="152"/>
      <c r="IVJ5" s="152"/>
      <c r="IVK5" s="152"/>
      <c r="IVL5" s="152"/>
      <c r="IVM5" s="152"/>
      <c r="IVN5" s="152"/>
      <c r="IVO5" s="152"/>
      <c r="IVP5" s="152"/>
      <c r="IVQ5" s="152"/>
      <c r="IVR5" s="152"/>
      <c r="IVS5" s="152"/>
      <c r="IVT5" s="152"/>
      <c r="IVU5" s="152"/>
      <c r="IVV5" s="152"/>
      <c r="IVW5" s="152"/>
      <c r="IVX5" s="152"/>
      <c r="IVY5" s="152"/>
      <c r="IVZ5" s="152"/>
      <c r="IWA5" s="152"/>
      <c r="IWB5" s="152"/>
      <c r="IWC5" s="152"/>
      <c r="IWD5" s="152"/>
      <c r="IWE5" s="152"/>
      <c r="IWF5" s="152"/>
      <c r="IWG5" s="152"/>
      <c r="IWH5" s="152"/>
      <c r="IWI5" s="152"/>
      <c r="IWJ5" s="152"/>
      <c r="IWK5" s="152"/>
      <c r="IWL5" s="152"/>
      <c r="IWM5" s="152"/>
      <c r="IWN5" s="152"/>
      <c r="IWO5" s="152"/>
      <c r="IWP5" s="152"/>
      <c r="IWQ5" s="152"/>
      <c r="IWR5" s="152"/>
      <c r="IWS5" s="152"/>
      <c r="IWT5" s="152"/>
      <c r="IWU5" s="152"/>
      <c r="IWV5" s="152"/>
      <c r="IWW5" s="152"/>
      <c r="IWX5" s="152"/>
      <c r="IWY5" s="152"/>
      <c r="IWZ5" s="152"/>
      <c r="IXA5" s="152"/>
      <c r="IXB5" s="152"/>
      <c r="IXC5" s="152"/>
      <c r="IXD5" s="152"/>
      <c r="IXE5" s="152"/>
      <c r="IXF5" s="152"/>
      <c r="IXG5" s="152"/>
      <c r="IXH5" s="152"/>
      <c r="IXI5" s="152"/>
      <c r="IXJ5" s="152"/>
      <c r="IXK5" s="152"/>
      <c r="IXL5" s="152"/>
      <c r="IXM5" s="152"/>
      <c r="IXN5" s="152"/>
      <c r="IXO5" s="152"/>
      <c r="IXP5" s="152"/>
      <c r="IXQ5" s="152"/>
      <c r="IXR5" s="152"/>
      <c r="IXS5" s="152"/>
      <c r="IXT5" s="152"/>
      <c r="IXU5" s="152"/>
      <c r="IXV5" s="152"/>
      <c r="IXW5" s="152"/>
      <c r="IXX5" s="152"/>
      <c r="IXY5" s="152"/>
      <c r="IXZ5" s="152"/>
      <c r="IYA5" s="152"/>
      <c r="IYB5" s="152"/>
      <c r="IYC5" s="152"/>
      <c r="IYD5" s="152"/>
      <c r="IYE5" s="152"/>
      <c r="IYF5" s="152"/>
      <c r="IYG5" s="152"/>
      <c r="IYH5" s="152"/>
      <c r="IYI5" s="152"/>
      <c r="IYJ5" s="152"/>
      <c r="IYK5" s="152"/>
      <c r="IYL5" s="152"/>
      <c r="IYM5" s="152"/>
      <c r="IYN5" s="152"/>
      <c r="IYO5" s="152"/>
      <c r="IYP5" s="152"/>
      <c r="IYQ5" s="152"/>
      <c r="IYR5" s="152"/>
      <c r="IYS5" s="152"/>
      <c r="IYT5" s="152"/>
      <c r="IYU5" s="152"/>
      <c r="IYV5" s="152"/>
      <c r="IYW5" s="152"/>
      <c r="IYX5" s="152"/>
      <c r="IYY5" s="152"/>
      <c r="IYZ5" s="152"/>
      <c r="IZA5" s="152"/>
      <c r="IZB5" s="152"/>
      <c r="IZC5" s="152"/>
      <c r="IZD5" s="152"/>
      <c r="IZE5" s="152"/>
      <c r="IZF5" s="152"/>
      <c r="IZG5" s="152"/>
      <c r="IZH5" s="152"/>
      <c r="IZI5" s="152"/>
      <c r="IZJ5" s="152"/>
      <c r="IZK5" s="152"/>
      <c r="IZL5" s="152"/>
      <c r="IZM5" s="152"/>
      <c r="IZN5" s="152"/>
      <c r="IZO5" s="152"/>
      <c r="IZP5" s="152"/>
      <c r="IZQ5" s="152"/>
      <c r="IZR5" s="152"/>
      <c r="IZS5" s="152"/>
      <c r="IZT5" s="152"/>
      <c r="IZU5" s="152"/>
      <c r="IZV5" s="152"/>
      <c r="IZW5" s="152"/>
      <c r="IZX5" s="152"/>
      <c r="IZY5" s="152"/>
      <c r="IZZ5" s="152"/>
      <c r="JAA5" s="152"/>
      <c r="JAB5" s="152"/>
      <c r="JAC5" s="152"/>
      <c r="JAD5" s="152"/>
      <c r="JAE5" s="152"/>
      <c r="JAF5" s="152"/>
      <c r="JAG5" s="152"/>
      <c r="JAH5" s="152"/>
      <c r="JAI5" s="152"/>
      <c r="JAJ5" s="152"/>
      <c r="JAK5" s="152"/>
      <c r="JAL5" s="152"/>
      <c r="JAM5" s="152"/>
      <c r="JAN5" s="152"/>
      <c r="JAO5" s="152"/>
      <c r="JAP5" s="152"/>
      <c r="JAQ5" s="152"/>
      <c r="JAR5" s="152"/>
      <c r="JAS5" s="152"/>
      <c r="JAT5" s="152"/>
      <c r="JAU5" s="152"/>
      <c r="JAV5" s="152"/>
      <c r="JAW5" s="152"/>
      <c r="JAX5" s="152"/>
      <c r="JAY5" s="152"/>
      <c r="JAZ5" s="152"/>
      <c r="JBA5" s="152"/>
      <c r="JBB5" s="152"/>
      <c r="JBC5" s="152"/>
      <c r="JBD5" s="152"/>
      <c r="JBE5" s="152"/>
      <c r="JBF5" s="152"/>
      <c r="JBG5" s="152"/>
      <c r="JBH5" s="152"/>
      <c r="JBI5" s="152"/>
      <c r="JBJ5" s="152"/>
      <c r="JBK5" s="152"/>
      <c r="JBL5" s="152"/>
      <c r="JBM5" s="152"/>
      <c r="JBN5" s="152"/>
      <c r="JBO5" s="152"/>
      <c r="JBP5" s="152"/>
      <c r="JBQ5" s="152"/>
      <c r="JBR5" s="152"/>
      <c r="JBS5" s="152"/>
      <c r="JBT5" s="152"/>
      <c r="JBU5" s="152"/>
      <c r="JBV5" s="152"/>
      <c r="JBW5" s="152"/>
      <c r="JBX5" s="152"/>
      <c r="JBY5" s="152"/>
      <c r="JBZ5" s="152"/>
      <c r="JCA5" s="152"/>
      <c r="JCB5" s="152"/>
      <c r="JCC5" s="152"/>
      <c r="JCD5" s="152"/>
      <c r="JCE5" s="152"/>
      <c r="JCF5" s="152"/>
      <c r="JCG5" s="152"/>
      <c r="JCH5" s="152"/>
      <c r="JCI5" s="152"/>
      <c r="JCJ5" s="152"/>
      <c r="JCK5" s="152"/>
      <c r="JCL5" s="152"/>
      <c r="JCM5" s="152"/>
      <c r="JCN5" s="152"/>
      <c r="JCO5" s="152"/>
      <c r="JCP5" s="152"/>
      <c r="JCQ5" s="152"/>
      <c r="JCR5" s="152"/>
      <c r="JCS5" s="152"/>
      <c r="JCT5" s="152"/>
      <c r="JCU5" s="152"/>
      <c r="JCV5" s="152"/>
      <c r="JCW5" s="152"/>
      <c r="JCX5" s="152"/>
      <c r="JCY5" s="152"/>
      <c r="JCZ5" s="152"/>
      <c r="JDA5" s="152"/>
      <c r="JDB5" s="152"/>
      <c r="JDC5" s="152"/>
      <c r="JDD5" s="152"/>
      <c r="JDE5" s="152"/>
      <c r="JDF5" s="152"/>
      <c r="JDG5" s="152"/>
      <c r="JDH5" s="152"/>
      <c r="JDI5" s="152"/>
      <c r="JDJ5" s="152"/>
      <c r="JDK5" s="152"/>
      <c r="JDL5" s="152"/>
      <c r="JDM5" s="152"/>
      <c r="JDN5" s="152"/>
      <c r="JDO5" s="152"/>
      <c r="JDP5" s="152"/>
      <c r="JDQ5" s="152"/>
      <c r="JDR5" s="152"/>
      <c r="JDS5" s="152"/>
      <c r="JDT5" s="152"/>
      <c r="JDU5" s="152"/>
      <c r="JDV5" s="152"/>
      <c r="JDW5" s="152"/>
      <c r="JDX5" s="152"/>
      <c r="JDY5" s="152"/>
      <c r="JDZ5" s="152"/>
      <c r="JEA5" s="152"/>
      <c r="JEB5" s="152"/>
      <c r="JEC5" s="152"/>
      <c r="JED5" s="152"/>
      <c r="JEE5" s="152"/>
      <c r="JEF5" s="152"/>
      <c r="JEG5" s="152"/>
      <c r="JEH5" s="152"/>
      <c r="JEI5" s="152"/>
      <c r="JEJ5" s="152"/>
      <c r="JEK5" s="152"/>
      <c r="JEL5" s="152"/>
      <c r="JEM5" s="152"/>
      <c r="JEN5" s="152"/>
      <c r="JEO5" s="152"/>
      <c r="JEP5" s="152"/>
      <c r="JEQ5" s="152"/>
      <c r="JER5" s="152"/>
      <c r="JES5" s="152"/>
      <c r="JET5" s="152"/>
      <c r="JEU5" s="152"/>
      <c r="JEV5" s="152"/>
      <c r="JEW5" s="152"/>
      <c r="JEX5" s="152"/>
      <c r="JEY5" s="152"/>
      <c r="JEZ5" s="152"/>
      <c r="JFA5" s="152"/>
      <c r="JFB5" s="152"/>
      <c r="JFC5" s="152"/>
      <c r="JFD5" s="152"/>
      <c r="JFE5" s="152"/>
      <c r="JFF5" s="152"/>
      <c r="JFG5" s="152"/>
      <c r="JFH5" s="152"/>
      <c r="JFI5" s="152"/>
      <c r="JFJ5" s="152"/>
      <c r="JFK5" s="152"/>
      <c r="JFL5" s="152"/>
      <c r="JFM5" s="152"/>
      <c r="JFN5" s="152"/>
      <c r="JFO5" s="152"/>
      <c r="JFP5" s="152"/>
      <c r="JFQ5" s="152"/>
      <c r="JFR5" s="152"/>
      <c r="JFS5" s="152"/>
      <c r="JFT5" s="152"/>
      <c r="JFU5" s="152"/>
      <c r="JFV5" s="152"/>
      <c r="JFW5" s="152"/>
      <c r="JFX5" s="152"/>
      <c r="JFY5" s="152"/>
      <c r="JFZ5" s="152"/>
      <c r="JGA5" s="152"/>
      <c r="JGB5" s="152"/>
      <c r="JGC5" s="152"/>
      <c r="JGD5" s="152"/>
      <c r="JGE5" s="152"/>
      <c r="JGF5" s="152"/>
      <c r="JGG5" s="152"/>
      <c r="JGH5" s="152"/>
      <c r="JGI5" s="152"/>
      <c r="JGJ5" s="152"/>
      <c r="JGK5" s="152"/>
      <c r="JGL5" s="152"/>
      <c r="JGM5" s="152"/>
      <c r="JGN5" s="152"/>
      <c r="JGO5" s="152"/>
      <c r="JGP5" s="152"/>
      <c r="JGQ5" s="152"/>
      <c r="JGR5" s="152"/>
      <c r="JGS5" s="152"/>
      <c r="JGT5" s="152"/>
      <c r="JGU5" s="152"/>
      <c r="JGV5" s="152"/>
      <c r="JGW5" s="152"/>
      <c r="JGX5" s="152"/>
      <c r="JGY5" s="152"/>
      <c r="JGZ5" s="152"/>
      <c r="JHA5" s="152"/>
      <c r="JHB5" s="152"/>
      <c r="JHC5" s="152"/>
      <c r="JHD5" s="152"/>
      <c r="JHE5" s="152"/>
      <c r="JHF5" s="152"/>
      <c r="JHG5" s="152"/>
      <c r="JHH5" s="152"/>
      <c r="JHI5" s="152"/>
      <c r="JHJ5" s="152"/>
      <c r="JHK5" s="152"/>
      <c r="JHL5" s="152"/>
      <c r="JHM5" s="152"/>
      <c r="JHN5" s="152"/>
      <c r="JHO5" s="152"/>
      <c r="JHP5" s="152"/>
      <c r="JHQ5" s="152"/>
      <c r="JHR5" s="152"/>
      <c r="JHS5" s="152"/>
      <c r="JHT5" s="152"/>
      <c r="JHU5" s="152"/>
      <c r="JHV5" s="152"/>
      <c r="JHW5" s="152"/>
      <c r="JHX5" s="152"/>
      <c r="JHY5" s="152"/>
      <c r="JHZ5" s="152"/>
      <c r="JIA5" s="152"/>
      <c r="JIB5" s="152"/>
      <c r="JIC5" s="152"/>
      <c r="JID5" s="152"/>
      <c r="JIE5" s="152"/>
      <c r="JIF5" s="152"/>
      <c r="JIG5" s="152"/>
      <c r="JIH5" s="152"/>
      <c r="JII5" s="152"/>
      <c r="JIJ5" s="152"/>
      <c r="JIK5" s="152"/>
      <c r="JIL5" s="152"/>
      <c r="JIM5" s="152"/>
      <c r="JIN5" s="152"/>
      <c r="JIO5" s="152"/>
      <c r="JIP5" s="152"/>
      <c r="JIQ5" s="152"/>
      <c r="JIR5" s="152"/>
      <c r="JIS5" s="152"/>
      <c r="JIT5" s="152"/>
      <c r="JIU5" s="152"/>
      <c r="JIV5" s="152"/>
      <c r="JIW5" s="152"/>
      <c r="JIX5" s="152"/>
      <c r="JIY5" s="152"/>
      <c r="JIZ5" s="152"/>
      <c r="JJA5" s="152"/>
      <c r="JJB5" s="152"/>
      <c r="JJC5" s="152"/>
      <c r="JJD5" s="152"/>
      <c r="JJE5" s="152"/>
      <c r="JJF5" s="152"/>
      <c r="JJG5" s="152"/>
      <c r="JJH5" s="152"/>
      <c r="JJI5" s="152"/>
      <c r="JJJ5" s="152"/>
      <c r="JJK5" s="152"/>
      <c r="JJL5" s="152"/>
      <c r="JJM5" s="152"/>
      <c r="JJN5" s="152"/>
      <c r="JJO5" s="152"/>
      <c r="JJP5" s="152"/>
      <c r="JJQ5" s="152"/>
      <c r="JJR5" s="152"/>
      <c r="JJS5" s="152"/>
      <c r="JJT5" s="152"/>
      <c r="JJU5" s="152"/>
      <c r="JJV5" s="152"/>
      <c r="JJW5" s="152"/>
      <c r="JJX5" s="152"/>
      <c r="JJY5" s="152"/>
      <c r="JJZ5" s="152"/>
      <c r="JKA5" s="152"/>
      <c r="JKB5" s="152"/>
      <c r="JKC5" s="152"/>
      <c r="JKD5" s="152"/>
      <c r="JKE5" s="152"/>
      <c r="JKF5" s="152"/>
      <c r="JKG5" s="152"/>
      <c r="JKH5" s="152"/>
      <c r="JKI5" s="152"/>
      <c r="JKJ5" s="152"/>
      <c r="JKK5" s="152"/>
      <c r="JKL5" s="152"/>
      <c r="JKM5" s="152"/>
      <c r="JKN5" s="152"/>
      <c r="JKO5" s="152"/>
      <c r="JKP5" s="152"/>
      <c r="JKQ5" s="152"/>
      <c r="JKR5" s="152"/>
      <c r="JKS5" s="152"/>
      <c r="JKT5" s="152"/>
      <c r="JKU5" s="152"/>
      <c r="JKV5" s="152"/>
      <c r="JKW5" s="152"/>
      <c r="JKX5" s="152"/>
      <c r="JKY5" s="152"/>
      <c r="JKZ5" s="152"/>
      <c r="JLA5" s="152"/>
      <c r="JLB5" s="152"/>
      <c r="JLC5" s="152"/>
      <c r="JLD5" s="152"/>
      <c r="JLE5" s="152"/>
      <c r="JLF5" s="152"/>
      <c r="JLG5" s="152"/>
      <c r="JLH5" s="152"/>
      <c r="JLI5" s="152"/>
      <c r="JLJ5" s="152"/>
      <c r="JLK5" s="152"/>
      <c r="JLL5" s="152"/>
      <c r="JLM5" s="152"/>
      <c r="JLN5" s="152"/>
      <c r="JLO5" s="152"/>
      <c r="JLP5" s="152"/>
      <c r="JLQ5" s="152"/>
      <c r="JLR5" s="152"/>
      <c r="JLS5" s="152"/>
      <c r="JLT5" s="152"/>
      <c r="JLU5" s="152"/>
      <c r="JLV5" s="152"/>
      <c r="JLW5" s="152"/>
      <c r="JLX5" s="152"/>
      <c r="JLY5" s="152"/>
      <c r="JLZ5" s="152"/>
      <c r="JMA5" s="152"/>
      <c r="JMB5" s="152"/>
      <c r="JMC5" s="152"/>
      <c r="JMD5" s="152"/>
      <c r="JME5" s="152"/>
      <c r="JMF5" s="152"/>
      <c r="JMG5" s="152"/>
      <c r="JMH5" s="152"/>
      <c r="JMI5" s="152"/>
      <c r="JMJ5" s="152"/>
      <c r="JMK5" s="152"/>
      <c r="JML5" s="152"/>
      <c r="JMM5" s="152"/>
      <c r="JMN5" s="152"/>
      <c r="JMO5" s="152"/>
      <c r="JMP5" s="152"/>
      <c r="JMQ5" s="152"/>
      <c r="JMR5" s="152"/>
      <c r="JMS5" s="152"/>
      <c r="JMT5" s="152"/>
      <c r="JMU5" s="152"/>
      <c r="JMV5" s="152"/>
      <c r="JMW5" s="152"/>
      <c r="JMX5" s="152"/>
      <c r="JMY5" s="152"/>
      <c r="JMZ5" s="152"/>
      <c r="JNA5" s="152"/>
      <c r="JNB5" s="152"/>
      <c r="JNC5" s="152"/>
      <c r="JND5" s="152"/>
      <c r="JNE5" s="152"/>
      <c r="JNF5" s="152"/>
      <c r="JNG5" s="152"/>
      <c r="JNH5" s="152"/>
      <c r="JNI5" s="152"/>
      <c r="JNJ5" s="152"/>
      <c r="JNK5" s="152"/>
      <c r="JNL5" s="152"/>
      <c r="JNM5" s="152"/>
      <c r="JNN5" s="152"/>
      <c r="JNO5" s="152"/>
      <c r="JNP5" s="152"/>
      <c r="JNQ5" s="152"/>
      <c r="JNR5" s="152"/>
      <c r="JNS5" s="152"/>
      <c r="JNT5" s="152"/>
      <c r="JNU5" s="152"/>
      <c r="JNV5" s="152"/>
      <c r="JNW5" s="152"/>
      <c r="JNX5" s="152"/>
      <c r="JNY5" s="152"/>
      <c r="JNZ5" s="152"/>
      <c r="JOA5" s="152"/>
      <c r="JOB5" s="152"/>
      <c r="JOC5" s="152"/>
      <c r="JOD5" s="152"/>
      <c r="JOE5" s="152"/>
      <c r="JOF5" s="152"/>
      <c r="JOG5" s="152"/>
      <c r="JOH5" s="152"/>
      <c r="JOI5" s="152"/>
      <c r="JOJ5" s="152"/>
      <c r="JOK5" s="152"/>
      <c r="JOL5" s="152"/>
      <c r="JOM5" s="152"/>
      <c r="JON5" s="152"/>
      <c r="JOO5" s="152"/>
      <c r="JOP5" s="152"/>
      <c r="JOQ5" s="152"/>
      <c r="JOR5" s="152"/>
      <c r="JOS5" s="152"/>
      <c r="JOT5" s="152"/>
      <c r="JOU5" s="152"/>
      <c r="JOV5" s="152"/>
      <c r="JOW5" s="152"/>
      <c r="JOX5" s="152"/>
      <c r="JOY5" s="152"/>
      <c r="JOZ5" s="152"/>
      <c r="JPA5" s="152"/>
      <c r="JPB5" s="152"/>
      <c r="JPC5" s="152"/>
      <c r="JPD5" s="152"/>
      <c r="JPE5" s="152"/>
      <c r="JPF5" s="152"/>
      <c r="JPG5" s="152"/>
      <c r="JPH5" s="152"/>
      <c r="JPI5" s="152"/>
      <c r="JPJ5" s="152"/>
      <c r="JPK5" s="152"/>
      <c r="JPL5" s="152"/>
      <c r="JPM5" s="152"/>
      <c r="JPN5" s="152"/>
      <c r="JPO5" s="152"/>
      <c r="JPP5" s="152"/>
      <c r="JPQ5" s="152"/>
      <c r="JPR5" s="152"/>
      <c r="JPS5" s="152"/>
      <c r="JPT5" s="152"/>
      <c r="JPU5" s="152"/>
      <c r="JPV5" s="152"/>
      <c r="JPW5" s="152"/>
      <c r="JPX5" s="152"/>
      <c r="JPY5" s="152"/>
      <c r="JPZ5" s="152"/>
      <c r="JQA5" s="152"/>
      <c r="JQB5" s="152"/>
      <c r="JQC5" s="152"/>
      <c r="JQD5" s="152"/>
      <c r="JQE5" s="152"/>
      <c r="JQF5" s="152"/>
      <c r="JQG5" s="152"/>
      <c r="JQH5" s="152"/>
      <c r="JQI5" s="152"/>
      <c r="JQJ5" s="152"/>
      <c r="JQK5" s="152"/>
      <c r="JQL5" s="152"/>
      <c r="JQM5" s="152"/>
      <c r="JQN5" s="152"/>
      <c r="JQO5" s="152"/>
      <c r="JQP5" s="152"/>
      <c r="JQQ5" s="152"/>
      <c r="JQR5" s="152"/>
      <c r="JQS5" s="152"/>
      <c r="JQT5" s="152"/>
      <c r="JQU5" s="152"/>
      <c r="JQV5" s="152"/>
      <c r="JQW5" s="152"/>
      <c r="JQX5" s="152"/>
      <c r="JQY5" s="152"/>
      <c r="JQZ5" s="152"/>
      <c r="JRA5" s="152"/>
      <c r="JRB5" s="152"/>
      <c r="JRC5" s="152"/>
      <c r="JRD5" s="152"/>
      <c r="JRE5" s="152"/>
      <c r="JRF5" s="152"/>
      <c r="JRG5" s="152"/>
      <c r="JRH5" s="152"/>
      <c r="JRI5" s="152"/>
      <c r="JRJ5" s="152"/>
      <c r="JRK5" s="152"/>
      <c r="JRL5" s="152"/>
      <c r="JRM5" s="152"/>
      <c r="JRN5" s="152"/>
      <c r="JRO5" s="152"/>
      <c r="JRP5" s="152"/>
      <c r="JRQ5" s="152"/>
      <c r="JRR5" s="152"/>
      <c r="JRS5" s="152"/>
      <c r="JRT5" s="152"/>
      <c r="JRU5" s="152"/>
      <c r="JRV5" s="152"/>
      <c r="JRW5" s="152"/>
      <c r="JRX5" s="152"/>
      <c r="JRY5" s="152"/>
      <c r="JRZ5" s="152"/>
      <c r="JSA5" s="152"/>
      <c r="JSB5" s="152"/>
      <c r="JSC5" s="152"/>
      <c r="JSD5" s="152"/>
      <c r="JSE5" s="152"/>
      <c r="JSF5" s="152"/>
      <c r="JSG5" s="152"/>
      <c r="JSH5" s="152"/>
      <c r="JSI5" s="152"/>
      <c r="JSJ5" s="152"/>
      <c r="JSK5" s="152"/>
      <c r="JSL5" s="152"/>
      <c r="JSM5" s="152"/>
      <c r="JSN5" s="152"/>
      <c r="JSO5" s="152"/>
      <c r="JSP5" s="152"/>
      <c r="JSQ5" s="152"/>
      <c r="JSR5" s="152"/>
      <c r="JSS5" s="152"/>
      <c r="JST5" s="152"/>
      <c r="JSU5" s="152"/>
      <c r="JSV5" s="152"/>
      <c r="JSW5" s="152"/>
      <c r="JSX5" s="152"/>
      <c r="JSY5" s="152"/>
      <c r="JSZ5" s="152"/>
      <c r="JTA5" s="152"/>
      <c r="JTB5" s="152"/>
      <c r="JTC5" s="152"/>
      <c r="JTD5" s="152"/>
      <c r="JTE5" s="152"/>
      <c r="JTF5" s="152"/>
      <c r="JTG5" s="152"/>
      <c r="JTH5" s="152"/>
      <c r="JTI5" s="152"/>
      <c r="JTJ5" s="152"/>
      <c r="JTK5" s="152"/>
      <c r="JTL5" s="152"/>
      <c r="JTM5" s="152"/>
      <c r="JTN5" s="152"/>
      <c r="JTO5" s="152"/>
      <c r="JTP5" s="152"/>
      <c r="JTQ5" s="152"/>
      <c r="JTR5" s="152"/>
      <c r="JTS5" s="152"/>
      <c r="JTT5" s="152"/>
      <c r="JTU5" s="152"/>
      <c r="JTV5" s="152"/>
      <c r="JTW5" s="152"/>
      <c r="JTX5" s="152"/>
      <c r="JTY5" s="152"/>
      <c r="JTZ5" s="152"/>
      <c r="JUA5" s="152"/>
      <c r="JUB5" s="152"/>
      <c r="JUC5" s="152"/>
      <c r="JUD5" s="152"/>
      <c r="JUE5" s="152"/>
      <c r="JUF5" s="152"/>
      <c r="JUG5" s="152"/>
      <c r="JUH5" s="152"/>
      <c r="JUI5" s="152"/>
      <c r="JUJ5" s="152"/>
      <c r="JUK5" s="152"/>
      <c r="JUL5" s="152"/>
      <c r="JUM5" s="152"/>
      <c r="JUN5" s="152"/>
      <c r="JUO5" s="152"/>
      <c r="JUP5" s="152"/>
      <c r="JUQ5" s="152"/>
      <c r="JUR5" s="152"/>
      <c r="JUS5" s="152"/>
      <c r="JUT5" s="152"/>
      <c r="JUU5" s="152"/>
      <c r="JUV5" s="152"/>
      <c r="JUW5" s="152"/>
      <c r="JUX5" s="152"/>
      <c r="JUY5" s="152"/>
      <c r="JUZ5" s="152"/>
      <c r="JVA5" s="152"/>
      <c r="JVB5" s="152"/>
      <c r="JVC5" s="152"/>
      <c r="JVD5" s="152"/>
      <c r="JVE5" s="152"/>
      <c r="JVF5" s="152"/>
      <c r="JVG5" s="152"/>
      <c r="JVH5" s="152"/>
      <c r="JVI5" s="152"/>
      <c r="JVJ5" s="152"/>
      <c r="JVK5" s="152"/>
      <c r="JVL5" s="152"/>
      <c r="JVM5" s="152"/>
      <c r="JVN5" s="152"/>
      <c r="JVO5" s="152"/>
      <c r="JVP5" s="152"/>
      <c r="JVQ5" s="152"/>
      <c r="JVR5" s="152"/>
      <c r="JVS5" s="152"/>
      <c r="JVT5" s="152"/>
      <c r="JVU5" s="152"/>
      <c r="JVV5" s="152"/>
      <c r="JVW5" s="152"/>
      <c r="JVX5" s="152"/>
      <c r="JVY5" s="152"/>
      <c r="JVZ5" s="152"/>
      <c r="JWA5" s="152"/>
      <c r="JWB5" s="152"/>
      <c r="JWC5" s="152"/>
      <c r="JWD5" s="152"/>
      <c r="JWE5" s="152"/>
      <c r="JWF5" s="152"/>
      <c r="JWG5" s="152"/>
      <c r="JWH5" s="152"/>
      <c r="JWI5" s="152"/>
      <c r="JWJ5" s="152"/>
      <c r="JWK5" s="152"/>
      <c r="JWL5" s="152"/>
      <c r="JWM5" s="152"/>
      <c r="JWN5" s="152"/>
      <c r="JWO5" s="152"/>
      <c r="JWP5" s="152"/>
      <c r="JWQ5" s="152"/>
      <c r="JWR5" s="152"/>
      <c r="JWS5" s="152"/>
      <c r="JWT5" s="152"/>
      <c r="JWU5" s="152"/>
      <c r="JWV5" s="152"/>
      <c r="JWW5" s="152"/>
      <c r="JWX5" s="152"/>
      <c r="JWY5" s="152"/>
      <c r="JWZ5" s="152"/>
      <c r="JXA5" s="152"/>
      <c r="JXB5" s="152"/>
      <c r="JXC5" s="152"/>
      <c r="JXD5" s="152"/>
      <c r="JXE5" s="152"/>
      <c r="JXF5" s="152"/>
      <c r="JXG5" s="152"/>
      <c r="JXH5" s="152"/>
      <c r="JXI5" s="152"/>
      <c r="JXJ5" s="152"/>
      <c r="JXK5" s="152"/>
      <c r="JXL5" s="152"/>
      <c r="JXM5" s="152"/>
      <c r="JXN5" s="152"/>
      <c r="JXO5" s="152"/>
      <c r="JXP5" s="152"/>
      <c r="JXQ5" s="152"/>
      <c r="JXR5" s="152"/>
      <c r="JXS5" s="152"/>
      <c r="JXT5" s="152"/>
      <c r="JXU5" s="152"/>
      <c r="JXV5" s="152"/>
      <c r="JXW5" s="152"/>
      <c r="JXX5" s="152"/>
      <c r="JXY5" s="152"/>
      <c r="JXZ5" s="152"/>
      <c r="JYA5" s="152"/>
      <c r="JYB5" s="152"/>
      <c r="JYC5" s="152"/>
      <c r="JYD5" s="152"/>
      <c r="JYE5" s="152"/>
      <c r="JYF5" s="152"/>
      <c r="JYG5" s="152"/>
      <c r="JYH5" s="152"/>
      <c r="JYI5" s="152"/>
      <c r="JYJ5" s="152"/>
      <c r="JYK5" s="152"/>
      <c r="JYL5" s="152"/>
      <c r="JYM5" s="152"/>
      <c r="JYN5" s="152"/>
      <c r="JYO5" s="152"/>
      <c r="JYP5" s="152"/>
      <c r="JYQ5" s="152"/>
      <c r="JYR5" s="152"/>
      <c r="JYS5" s="152"/>
      <c r="JYT5" s="152"/>
      <c r="JYU5" s="152"/>
      <c r="JYV5" s="152"/>
      <c r="JYW5" s="152"/>
      <c r="JYX5" s="152"/>
      <c r="JYY5" s="152"/>
      <c r="JYZ5" s="152"/>
      <c r="JZA5" s="152"/>
      <c r="JZB5" s="152"/>
      <c r="JZC5" s="152"/>
      <c r="JZD5" s="152"/>
      <c r="JZE5" s="152"/>
      <c r="JZF5" s="152"/>
      <c r="JZG5" s="152"/>
      <c r="JZH5" s="152"/>
      <c r="JZI5" s="152"/>
      <c r="JZJ5" s="152"/>
      <c r="JZK5" s="152"/>
      <c r="JZL5" s="152"/>
      <c r="JZM5" s="152"/>
      <c r="JZN5" s="152"/>
      <c r="JZO5" s="152"/>
      <c r="JZP5" s="152"/>
      <c r="JZQ5" s="152"/>
      <c r="JZR5" s="152"/>
      <c r="JZS5" s="152"/>
      <c r="JZT5" s="152"/>
      <c r="JZU5" s="152"/>
      <c r="JZV5" s="152"/>
      <c r="JZW5" s="152"/>
      <c r="JZX5" s="152"/>
      <c r="JZY5" s="152"/>
      <c r="JZZ5" s="152"/>
      <c r="KAA5" s="152"/>
      <c r="KAB5" s="152"/>
      <c r="KAC5" s="152"/>
      <c r="KAD5" s="152"/>
      <c r="KAE5" s="152"/>
      <c r="KAF5" s="152"/>
      <c r="KAG5" s="152"/>
      <c r="KAH5" s="152"/>
      <c r="KAI5" s="152"/>
      <c r="KAJ5" s="152"/>
      <c r="KAK5" s="152"/>
      <c r="KAL5" s="152"/>
      <c r="KAM5" s="152"/>
      <c r="KAN5" s="152"/>
      <c r="KAO5" s="152"/>
      <c r="KAP5" s="152"/>
      <c r="KAQ5" s="152"/>
      <c r="KAR5" s="152"/>
      <c r="KAS5" s="152"/>
      <c r="KAT5" s="152"/>
      <c r="KAU5" s="152"/>
      <c r="KAV5" s="152"/>
      <c r="KAW5" s="152"/>
      <c r="KAX5" s="152"/>
      <c r="KAY5" s="152"/>
      <c r="KAZ5" s="152"/>
      <c r="KBA5" s="152"/>
      <c r="KBB5" s="152"/>
      <c r="KBC5" s="152"/>
      <c r="KBD5" s="152"/>
      <c r="KBE5" s="152"/>
      <c r="KBF5" s="152"/>
      <c r="KBG5" s="152"/>
      <c r="KBH5" s="152"/>
      <c r="KBI5" s="152"/>
      <c r="KBJ5" s="152"/>
      <c r="KBK5" s="152"/>
      <c r="KBL5" s="152"/>
      <c r="KBM5" s="152"/>
      <c r="KBN5" s="152"/>
      <c r="KBO5" s="152"/>
      <c r="KBP5" s="152"/>
      <c r="KBQ5" s="152"/>
      <c r="KBR5" s="152"/>
      <c r="KBS5" s="152"/>
      <c r="KBT5" s="152"/>
      <c r="KBU5" s="152"/>
      <c r="KBV5" s="152"/>
      <c r="KBW5" s="152"/>
      <c r="KBX5" s="152"/>
      <c r="KBY5" s="152"/>
      <c r="KBZ5" s="152"/>
      <c r="KCA5" s="152"/>
      <c r="KCB5" s="152"/>
      <c r="KCC5" s="152"/>
      <c r="KCD5" s="152"/>
      <c r="KCE5" s="152"/>
      <c r="KCF5" s="152"/>
      <c r="KCG5" s="152"/>
      <c r="KCH5" s="152"/>
      <c r="KCI5" s="152"/>
      <c r="KCJ5" s="152"/>
      <c r="KCK5" s="152"/>
      <c r="KCL5" s="152"/>
      <c r="KCM5" s="152"/>
      <c r="KCN5" s="152"/>
      <c r="KCO5" s="152"/>
      <c r="KCP5" s="152"/>
      <c r="KCQ5" s="152"/>
      <c r="KCR5" s="152"/>
      <c r="KCS5" s="152"/>
      <c r="KCT5" s="152"/>
      <c r="KCU5" s="152"/>
      <c r="KCV5" s="152"/>
      <c r="KCW5" s="152"/>
      <c r="KCX5" s="152"/>
      <c r="KCY5" s="152"/>
      <c r="KCZ5" s="152"/>
      <c r="KDA5" s="152"/>
      <c r="KDB5" s="152"/>
      <c r="KDC5" s="152"/>
      <c r="KDD5" s="152"/>
      <c r="KDE5" s="152"/>
      <c r="KDF5" s="152"/>
      <c r="KDG5" s="152"/>
      <c r="KDH5" s="152"/>
      <c r="KDI5" s="152"/>
      <c r="KDJ5" s="152"/>
      <c r="KDK5" s="152"/>
      <c r="KDL5" s="152"/>
      <c r="KDM5" s="152"/>
      <c r="KDN5" s="152"/>
      <c r="KDO5" s="152"/>
      <c r="KDP5" s="152"/>
      <c r="KDQ5" s="152"/>
      <c r="KDR5" s="152"/>
      <c r="KDS5" s="152"/>
      <c r="KDT5" s="152"/>
      <c r="KDU5" s="152"/>
      <c r="KDV5" s="152"/>
      <c r="KDW5" s="152"/>
      <c r="KDX5" s="152"/>
      <c r="KDY5" s="152"/>
      <c r="KDZ5" s="152"/>
      <c r="KEA5" s="152"/>
      <c r="KEB5" s="152"/>
      <c r="KEC5" s="152"/>
      <c r="KED5" s="152"/>
      <c r="KEE5" s="152"/>
      <c r="KEF5" s="152"/>
      <c r="KEG5" s="152"/>
      <c r="KEH5" s="152"/>
      <c r="KEI5" s="152"/>
      <c r="KEJ5" s="152"/>
      <c r="KEK5" s="152"/>
      <c r="KEL5" s="152"/>
      <c r="KEM5" s="152"/>
      <c r="KEN5" s="152"/>
      <c r="KEO5" s="152"/>
      <c r="KEP5" s="152"/>
      <c r="KEQ5" s="152"/>
      <c r="KER5" s="152"/>
      <c r="KES5" s="152"/>
      <c r="KET5" s="152"/>
      <c r="KEU5" s="152"/>
      <c r="KEV5" s="152"/>
      <c r="KEW5" s="152"/>
      <c r="KEX5" s="152"/>
      <c r="KEY5" s="152"/>
      <c r="KEZ5" s="152"/>
      <c r="KFA5" s="152"/>
      <c r="KFB5" s="152"/>
      <c r="KFC5" s="152"/>
      <c r="KFD5" s="152"/>
      <c r="KFE5" s="152"/>
      <c r="KFF5" s="152"/>
      <c r="KFG5" s="152"/>
      <c r="KFH5" s="152"/>
      <c r="KFI5" s="152"/>
      <c r="KFJ5" s="152"/>
      <c r="KFK5" s="152"/>
      <c r="KFL5" s="152"/>
      <c r="KFM5" s="152"/>
      <c r="KFN5" s="152"/>
      <c r="KFO5" s="152"/>
      <c r="KFP5" s="152"/>
      <c r="KFQ5" s="152"/>
      <c r="KFR5" s="152"/>
      <c r="KFS5" s="152"/>
      <c r="KFT5" s="152"/>
      <c r="KFU5" s="152"/>
      <c r="KFV5" s="152"/>
      <c r="KFW5" s="152"/>
      <c r="KFX5" s="152"/>
      <c r="KFY5" s="152"/>
      <c r="KFZ5" s="152"/>
      <c r="KGA5" s="152"/>
      <c r="KGB5" s="152"/>
      <c r="KGC5" s="152"/>
      <c r="KGD5" s="152"/>
      <c r="KGE5" s="152"/>
      <c r="KGF5" s="152"/>
      <c r="KGG5" s="152"/>
      <c r="KGH5" s="152"/>
      <c r="KGI5" s="152"/>
      <c r="KGJ5" s="152"/>
      <c r="KGK5" s="152"/>
      <c r="KGL5" s="152"/>
      <c r="KGM5" s="152"/>
      <c r="KGN5" s="152"/>
      <c r="KGO5" s="152"/>
      <c r="KGP5" s="152"/>
      <c r="KGQ5" s="152"/>
      <c r="KGR5" s="152"/>
      <c r="KGS5" s="152"/>
      <c r="KGT5" s="152"/>
      <c r="KGU5" s="152"/>
      <c r="KGV5" s="152"/>
      <c r="KGW5" s="152"/>
      <c r="KGX5" s="152"/>
      <c r="KGY5" s="152"/>
      <c r="KGZ5" s="152"/>
      <c r="KHA5" s="152"/>
      <c r="KHB5" s="152"/>
      <c r="KHC5" s="152"/>
      <c r="KHD5" s="152"/>
      <c r="KHE5" s="152"/>
      <c r="KHF5" s="152"/>
      <c r="KHG5" s="152"/>
      <c r="KHH5" s="152"/>
      <c r="KHI5" s="152"/>
      <c r="KHJ5" s="152"/>
      <c r="KHK5" s="152"/>
      <c r="KHL5" s="152"/>
      <c r="KHM5" s="152"/>
      <c r="KHN5" s="152"/>
      <c r="KHO5" s="152"/>
      <c r="KHP5" s="152"/>
      <c r="KHQ5" s="152"/>
      <c r="KHR5" s="152"/>
      <c r="KHS5" s="152"/>
      <c r="KHT5" s="152"/>
      <c r="KHU5" s="152"/>
      <c r="KHV5" s="152"/>
      <c r="KHW5" s="152"/>
      <c r="KHX5" s="152"/>
      <c r="KHY5" s="152"/>
      <c r="KHZ5" s="152"/>
      <c r="KIA5" s="152"/>
      <c r="KIB5" s="152"/>
      <c r="KIC5" s="152"/>
      <c r="KID5" s="152"/>
      <c r="KIE5" s="152"/>
      <c r="KIF5" s="152"/>
      <c r="KIG5" s="152"/>
      <c r="KIH5" s="152"/>
      <c r="KII5" s="152"/>
      <c r="KIJ5" s="152"/>
      <c r="KIK5" s="152"/>
      <c r="KIL5" s="152"/>
      <c r="KIM5" s="152"/>
      <c r="KIN5" s="152"/>
      <c r="KIO5" s="152"/>
      <c r="KIP5" s="152"/>
      <c r="KIQ5" s="152"/>
      <c r="KIR5" s="152"/>
      <c r="KIS5" s="152"/>
      <c r="KIT5" s="152"/>
      <c r="KIU5" s="152"/>
      <c r="KIV5" s="152"/>
      <c r="KIW5" s="152"/>
      <c r="KIX5" s="152"/>
      <c r="KIY5" s="152"/>
      <c r="KIZ5" s="152"/>
      <c r="KJA5" s="152"/>
      <c r="KJB5" s="152"/>
      <c r="KJC5" s="152"/>
      <c r="KJD5" s="152"/>
      <c r="KJE5" s="152"/>
      <c r="KJF5" s="152"/>
      <c r="KJG5" s="152"/>
      <c r="KJH5" s="152"/>
      <c r="KJI5" s="152"/>
      <c r="KJJ5" s="152"/>
      <c r="KJK5" s="152"/>
      <c r="KJL5" s="152"/>
      <c r="KJM5" s="152"/>
      <c r="KJN5" s="152"/>
      <c r="KJO5" s="152"/>
      <c r="KJP5" s="152"/>
      <c r="KJQ5" s="152"/>
      <c r="KJR5" s="152"/>
      <c r="KJS5" s="152"/>
      <c r="KJT5" s="152"/>
      <c r="KJU5" s="152"/>
      <c r="KJV5" s="152"/>
      <c r="KJW5" s="152"/>
      <c r="KJX5" s="152"/>
      <c r="KJY5" s="152"/>
      <c r="KJZ5" s="152"/>
      <c r="KKA5" s="152"/>
      <c r="KKB5" s="152"/>
      <c r="KKC5" s="152"/>
      <c r="KKD5" s="152"/>
      <c r="KKE5" s="152"/>
      <c r="KKF5" s="152"/>
      <c r="KKG5" s="152"/>
      <c r="KKH5" s="152"/>
      <c r="KKI5" s="152"/>
      <c r="KKJ5" s="152"/>
      <c r="KKK5" s="152"/>
      <c r="KKL5" s="152"/>
      <c r="KKM5" s="152"/>
      <c r="KKN5" s="152"/>
      <c r="KKO5" s="152"/>
      <c r="KKP5" s="152"/>
      <c r="KKQ5" s="152"/>
      <c r="KKR5" s="152"/>
      <c r="KKS5" s="152"/>
      <c r="KKT5" s="152"/>
      <c r="KKU5" s="152"/>
      <c r="KKV5" s="152"/>
      <c r="KKW5" s="152"/>
      <c r="KKX5" s="152"/>
      <c r="KKY5" s="152"/>
      <c r="KKZ5" s="152"/>
      <c r="KLA5" s="152"/>
      <c r="KLB5" s="152"/>
      <c r="KLC5" s="152"/>
      <c r="KLD5" s="152"/>
      <c r="KLE5" s="152"/>
      <c r="KLF5" s="152"/>
      <c r="KLG5" s="152"/>
      <c r="KLH5" s="152"/>
      <c r="KLI5" s="152"/>
      <c r="KLJ5" s="152"/>
      <c r="KLK5" s="152"/>
      <c r="KLL5" s="152"/>
      <c r="KLM5" s="152"/>
      <c r="KLN5" s="152"/>
      <c r="KLO5" s="152"/>
      <c r="KLP5" s="152"/>
      <c r="KLQ5" s="152"/>
      <c r="KLR5" s="152"/>
      <c r="KLS5" s="152"/>
      <c r="KLT5" s="152"/>
      <c r="KLU5" s="152"/>
      <c r="KLV5" s="152"/>
      <c r="KLW5" s="152"/>
      <c r="KLX5" s="152"/>
      <c r="KLY5" s="152"/>
      <c r="KLZ5" s="152"/>
      <c r="KMA5" s="152"/>
      <c r="KMB5" s="152"/>
      <c r="KMC5" s="152"/>
      <c r="KMD5" s="152"/>
      <c r="KME5" s="152"/>
      <c r="KMF5" s="152"/>
      <c r="KMG5" s="152"/>
      <c r="KMH5" s="152"/>
      <c r="KMI5" s="152"/>
      <c r="KMJ5" s="152"/>
      <c r="KMK5" s="152"/>
      <c r="KML5" s="152"/>
      <c r="KMM5" s="152"/>
      <c r="KMN5" s="152"/>
      <c r="KMO5" s="152"/>
      <c r="KMP5" s="152"/>
      <c r="KMQ5" s="152"/>
      <c r="KMR5" s="152"/>
      <c r="KMS5" s="152"/>
      <c r="KMT5" s="152"/>
      <c r="KMU5" s="152"/>
      <c r="KMV5" s="152"/>
      <c r="KMW5" s="152"/>
      <c r="KMX5" s="152"/>
      <c r="KMY5" s="152"/>
      <c r="KMZ5" s="152"/>
      <c r="KNA5" s="152"/>
      <c r="KNB5" s="152"/>
      <c r="KNC5" s="152"/>
      <c r="KND5" s="152"/>
      <c r="KNE5" s="152"/>
      <c r="KNF5" s="152"/>
      <c r="KNG5" s="152"/>
      <c r="KNH5" s="152"/>
      <c r="KNI5" s="152"/>
      <c r="KNJ5" s="152"/>
      <c r="KNK5" s="152"/>
      <c r="KNL5" s="152"/>
      <c r="KNM5" s="152"/>
      <c r="KNN5" s="152"/>
      <c r="KNO5" s="152"/>
      <c r="KNP5" s="152"/>
      <c r="KNQ5" s="152"/>
      <c r="KNR5" s="152"/>
      <c r="KNS5" s="152"/>
      <c r="KNT5" s="152"/>
      <c r="KNU5" s="152"/>
      <c r="KNV5" s="152"/>
      <c r="KNW5" s="152"/>
      <c r="KNX5" s="152"/>
      <c r="KNY5" s="152"/>
      <c r="KNZ5" s="152"/>
      <c r="KOA5" s="152"/>
      <c r="KOB5" s="152"/>
      <c r="KOC5" s="152"/>
      <c r="KOD5" s="152"/>
      <c r="KOE5" s="152"/>
      <c r="KOF5" s="152"/>
      <c r="KOG5" s="152"/>
      <c r="KOH5" s="152"/>
      <c r="KOI5" s="152"/>
      <c r="KOJ5" s="152"/>
      <c r="KOK5" s="152"/>
      <c r="KOL5" s="152"/>
      <c r="KOM5" s="152"/>
      <c r="KON5" s="152"/>
      <c r="KOO5" s="152"/>
      <c r="KOP5" s="152"/>
      <c r="KOQ5" s="152"/>
      <c r="KOR5" s="152"/>
      <c r="KOS5" s="152"/>
      <c r="KOT5" s="152"/>
      <c r="KOU5" s="152"/>
      <c r="KOV5" s="152"/>
      <c r="KOW5" s="152"/>
      <c r="KOX5" s="152"/>
      <c r="KOY5" s="152"/>
      <c r="KOZ5" s="152"/>
      <c r="KPA5" s="152"/>
      <c r="KPB5" s="152"/>
      <c r="KPC5" s="152"/>
      <c r="KPD5" s="152"/>
      <c r="KPE5" s="152"/>
      <c r="KPF5" s="152"/>
      <c r="KPG5" s="152"/>
      <c r="KPH5" s="152"/>
      <c r="KPI5" s="152"/>
      <c r="KPJ5" s="152"/>
      <c r="KPK5" s="152"/>
      <c r="KPL5" s="152"/>
      <c r="KPM5" s="152"/>
      <c r="KPN5" s="152"/>
      <c r="KPO5" s="152"/>
      <c r="KPP5" s="152"/>
      <c r="KPQ5" s="152"/>
      <c r="KPR5" s="152"/>
      <c r="KPS5" s="152"/>
      <c r="KPT5" s="152"/>
      <c r="KPU5" s="152"/>
      <c r="KPV5" s="152"/>
      <c r="KPW5" s="152"/>
      <c r="KPX5" s="152"/>
      <c r="KPY5" s="152"/>
      <c r="KPZ5" s="152"/>
      <c r="KQA5" s="152"/>
      <c r="KQB5" s="152"/>
      <c r="KQC5" s="152"/>
      <c r="KQD5" s="152"/>
      <c r="KQE5" s="152"/>
      <c r="KQF5" s="152"/>
      <c r="KQG5" s="152"/>
      <c r="KQH5" s="152"/>
      <c r="KQI5" s="152"/>
      <c r="KQJ5" s="152"/>
      <c r="KQK5" s="152"/>
      <c r="KQL5" s="152"/>
      <c r="KQM5" s="152"/>
      <c r="KQN5" s="152"/>
      <c r="KQO5" s="152"/>
      <c r="KQP5" s="152"/>
      <c r="KQQ5" s="152"/>
      <c r="KQR5" s="152"/>
      <c r="KQS5" s="152"/>
      <c r="KQT5" s="152"/>
      <c r="KQU5" s="152"/>
      <c r="KQV5" s="152"/>
      <c r="KQW5" s="152"/>
      <c r="KQX5" s="152"/>
      <c r="KQY5" s="152"/>
      <c r="KQZ5" s="152"/>
      <c r="KRA5" s="152"/>
      <c r="KRB5" s="152"/>
      <c r="KRC5" s="152"/>
      <c r="KRD5" s="152"/>
      <c r="KRE5" s="152"/>
      <c r="KRF5" s="152"/>
      <c r="KRG5" s="152"/>
      <c r="KRH5" s="152"/>
      <c r="KRI5" s="152"/>
      <c r="KRJ5" s="152"/>
      <c r="KRK5" s="152"/>
      <c r="KRL5" s="152"/>
      <c r="KRM5" s="152"/>
      <c r="KRN5" s="152"/>
      <c r="KRO5" s="152"/>
      <c r="KRP5" s="152"/>
      <c r="KRQ5" s="152"/>
      <c r="KRR5" s="152"/>
      <c r="KRS5" s="152"/>
      <c r="KRT5" s="152"/>
      <c r="KRU5" s="152"/>
      <c r="KRV5" s="152"/>
      <c r="KRW5" s="152"/>
      <c r="KRX5" s="152"/>
      <c r="KRY5" s="152"/>
      <c r="KRZ5" s="152"/>
      <c r="KSA5" s="152"/>
      <c r="KSB5" s="152"/>
      <c r="KSC5" s="152"/>
      <c r="KSD5" s="152"/>
      <c r="KSE5" s="152"/>
      <c r="KSF5" s="152"/>
      <c r="KSG5" s="152"/>
      <c r="KSH5" s="152"/>
      <c r="KSI5" s="152"/>
      <c r="KSJ5" s="152"/>
      <c r="KSK5" s="152"/>
      <c r="KSL5" s="152"/>
      <c r="KSM5" s="152"/>
      <c r="KSN5" s="152"/>
      <c r="KSO5" s="152"/>
      <c r="KSP5" s="152"/>
      <c r="KSQ5" s="152"/>
      <c r="KSR5" s="152"/>
      <c r="KSS5" s="152"/>
      <c r="KST5" s="152"/>
      <c r="KSU5" s="152"/>
      <c r="KSV5" s="152"/>
      <c r="KSW5" s="152"/>
      <c r="KSX5" s="152"/>
      <c r="KSY5" s="152"/>
      <c r="KSZ5" s="152"/>
      <c r="KTA5" s="152"/>
      <c r="KTB5" s="152"/>
      <c r="KTC5" s="152"/>
      <c r="KTD5" s="152"/>
      <c r="KTE5" s="152"/>
      <c r="KTF5" s="152"/>
      <c r="KTG5" s="152"/>
      <c r="KTH5" s="152"/>
      <c r="KTI5" s="152"/>
      <c r="KTJ5" s="152"/>
      <c r="KTK5" s="152"/>
      <c r="KTL5" s="152"/>
      <c r="KTM5" s="152"/>
      <c r="KTN5" s="152"/>
      <c r="KTO5" s="152"/>
      <c r="KTP5" s="152"/>
      <c r="KTQ5" s="152"/>
      <c r="KTR5" s="152"/>
      <c r="KTS5" s="152"/>
      <c r="KTT5" s="152"/>
      <c r="KTU5" s="152"/>
      <c r="KTV5" s="152"/>
      <c r="KTW5" s="152"/>
      <c r="KTX5" s="152"/>
      <c r="KTY5" s="152"/>
      <c r="KTZ5" s="152"/>
      <c r="KUA5" s="152"/>
      <c r="KUB5" s="152"/>
      <c r="KUC5" s="152"/>
      <c r="KUD5" s="152"/>
      <c r="KUE5" s="152"/>
      <c r="KUF5" s="152"/>
      <c r="KUG5" s="152"/>
      <c r="KUH5" s="152"/>
      <c r="KUI5" s="152"/>
      <c r="KUJ5" s="152"/>
      <c r="KUK5" s="152"/>
      <c r="KUL5" s="152"/>
      <c r="KUM5" s="152"/>
      <c r="KUN5" s="152"/>
      <c r="KUO5" s="152"/>
      <c r="KUP5" s="152"/>
      <c r="KUQ5" s="152"/>
      <c r="KUR5" s="152"/>
      <c r="KUS5" s="152"/>
      <c r="KUT5" s="152"/>
      <c r="KUU5" s="152"/>
      <c r="KUV5" s="152"/>
      <c r="KUW5" s="152"/>
      <c r="KUX5" s="152"/>
      <c r="KUY5" s="152"/>
      <c r="KUZ5" s="152"/>
      <c r="KVA5" s="152"/>
      <c r="KVB5" s="152"/>
      <c r="KVC5" s="152"/>
      <c r="KVD5" s="152"/>
      <c r="KVE5" s="152"/>
      <c r="KVF5" s="152"/>
      <c r="KVG5" s="152"/>
      <c r="KVH5" s="152"/>
      <c r="KVI5" s="152"/>
      <c r="KVJ5" s="152"/>
      <c r="KVK5" s="152"/>
      <c r="KVL5" s="152"/>
      <c r="KVM5" s="152"/>
      <c r="KVN5" s="152"/>
      <c r="KVO5" s="152"/>
      <c r="KVP5" s="152"/>
      <c r="KVQ5" s="152"/>
      <c r="KVR5" s="152"/>
      <c r="KVS5" s="152"/>
      <c r="KVT5" s="152"/>
      <c r="KVU5" s="152"/>
      <c r="KVV5" s="152"/>
      <c r="KVW5" s="152"/>
      <c r="KVX5" s="152"/>
      <c r="KVY5" s="152"/>
      <c r="KVZ5" s="152"/>
      <c r="KWA5" s="152"/>
      <c r="KWB5" s="152"/>
      <c r="KWC5" s="152"/>
      <c r="KWD5" s="152"/>
      <c r="KWE5" s="152"/>
      <c r="KWF5" s="152"/>
      <c r="KWG5" s="152"/>
      <c r="KWH5" s="152"/>
      <c r="KWI5" s="152"/>
      <c r="KWJ5" s="152"/>
      <c r="KWK5" s="152"/>
      <c r="KWL5" s="152"/>
      <c r="KWM5" s="152"/>
      <c r="KWN5" s="152"/>
      <c r="KWO5" s="152"/>
      <c r="KWP5" s="152"/>
      <c r="KWQ5" s="152"/>
      <c r="KWR5" s="152"/>
      <c r="KWS5" s="152"/>
      <c r="KWT5" s="152"/>
      <c r="KWU5" s="152"/>
      <c r="KWV5" s="152"/>
      <c r="KWW5" s="152"/>
      <c r="KWX5" s="152"/>
      <c r="KWY5" s="152"/>
      <c r="KWZ5" s="152"/>
      <c r="KXA5" s="152"/>
      <c r="KXB5" s="152"/>
      <c r="KXC5" s="152"/>
      <c r="KXD5" s="152"/>
      <c r="KXE5" s="152"/>
      <c r="KXF5" s="152"/>
      <c r="KXG5" s="152"/>
      <c r="KXH5" s="152"/>
      <c r="KXI5" s="152"/>
      <c r="KXJ5" s="152"/>
      <c r="KXK5" s="152"/>
      <c r="KXL5" s="152"/>
      <c r="KXM5" s="152"/>
      <c r="KXN5" s="152"/>
      <c r="KXO5" s="152"/>
      <c r="KXP5" s="152"/>
      <c r="KXQ5" s="152"/>
      <c r="KXR5" s="152"/>
      <c r="KXS5" s="152"/>
      <c r="KXT5" s="152"/>
      <c r="KXU5" s="152"/>
      <c r="KXV5" s="152"/>
      <c r="KXW5" s="152"/>
      <c r="KXX5" s="152"/>
      <c r="KXY5" s="152"/>
      <c r="KXZ5" s="152"/>
      <c r="KYA5" s="152"/>
      <c r="KYB5" s="152"/>
      <c r="KYC5" s="152"/>
      <c r="KYD5" s="152"/>
      <c r="KYE5" s="152"/>
      <c r="KYF5" s="152"/>
      <c r="KYG5" s="152"/>
      <c r="KYH5" s="152"/>
      <c r="KYI5" s="152"/>
      <c r="KYJ5" s="152"/>
      <c r="KYK5" s="152"/>
      <c r="KYL5" s="152"/>
      <c r="KYM5" s="152"/>
      <c r="KYN5" s="152"/>
      <c r="KYO5" s="152"/>
      <c r="KYP5" s="152"/>
      <c r="KYQ5" s="152"/>
      <c r="KYR5" s="152"/>
      <c r="KYS5" s="152"/>
      <c r="KYT5" s="152"/>
      <c r="KYU5" s="152"/>
      <c r="KYV5" s="152"/>
      <c r="KYW5" s="152"/>
      <c r="KYX5" s="152"/>
      <c r="KYY5" s="152"/>
      <c r="KYZ5" s="152"/>
      <c r="KZA5" s="152"/>
      <c r="KZB5" s="152"/>
      <c r="KZC5" s="152"/>
      <c r="KZD5" s="152"/>
      <c r="KZE5" s="152"/>
      <c r="KZF5" s="152"/>
      <c r="KZG5" s="152"/>
      <c r="KZH5" s="152"/>
      <c r="KZI5" s="152"/>
      <c r="KZJ5" s="152"/>
      <c r="KZK5" s="152"/>
      <c r="KZL5" s="152"/>
      <c r="KZM5" s="152"/>
      <c r="KZN5" s="152"/>
      <c r="KZO5" s="152"/>
      <c r="KZP5" s="152"/>
      <c r="KZQ5" s="152"/>
      <c r="KZR5" s="152"/>
      <c r="KZS5" s="152"/>
      <c r="KZT5" s="152"/>
      <c r="KZU5" s="152"/>
      <c r="KZV5" s="152"/>
      <c r="KZW5" s="152"/>
      <c r="KZX5" s="152"/>
      <c r="KZY5" s="152"/>
      <c r="KZZ5" s="152"/>
      <c r="LAA5" s="152"/>
      <c r="LAB5" s="152"/>
      <c r="LAC5" s="152"/>
      <c r="LAD5" s="152"/>
      <c r="LAE5" s="152"/>
      <c r="LAF5" s="152"/>
      <c r="LAG5" s="152"/>
      <c r="LAH5" s="152"/>
      <c r="LAI5" s="152"/>
      <c r="LAJ5" s="152"/>
      <c r="LAK5" s="152"/>
      <c r="LAL5" s="152"/>
      <c r="LAM5" s="152"/>
      <c r="LAN5" s="152"/>
      <c r="LAO5" s="152"/>
      <c r="LAP5" s="152"/>
      <c r="LAQ5" s="152"/>
      <c r="LAR5" s="152"/>
      <c r="LAS5" s="152"/>
      <c r="LAT5" s="152"/>
      <c r="LAU5" s="152"/>
      <c r="LAV5" s="152"/>
      <c r="LAW5" s="152"/>
      <c r="LAX5" s="152"/>
      <c r="LAY5" s="152"/>
      <c r="LAZ5" s="152"/>
      <c r="LBA5" s="152"/>
      <c r="LBB5" s="152"/>
      <c r="LBC5" s="152"/>
      <c r="LBD5" s="152"/>
      <c r="LBE5" s="152"/>
      <c r="LBF5" s="152"/>
      <c r="LBG5" s="152"/>
      <c r="LBH5" s="152"/>
      <c r="LBI5" s="152"/>
      <c r="LBJ5" s="152"/>
      <c r="LBK5" s="152"/>
      <c r="LBL5" s="152"/>
      <c r="LBM5" s="152"/>
      <c r="LBN5" s="152"/>
      <c r="LBO5" s="152"/>
      <c r="LBP5" s="152"/>
      <c r="LBQ5" s="152"/>
      <c r="LBR5" s="152"/>
      <c r="LBS5" s="152"/>
      <c r="LBT5" s="152"/>
      <c r="LBU5" s="152"/>
      <c r="LBV5" s="152"/>
      <c r="LBW5" s="152"/>
      <c r="LBX5" s="152"/>
      <c r="LBY5" s="152"/>
      <c r="LBZ5" s="152"/>
      <c r="LCA5" s="152"/>
      <c r="LCB5" s="152"/>
      <c r="LCC5" s="152"/>
      <c r="LCD5" s="152"/>
      <c r="LCE5" s="152"/>
      <c r="LCF5" s="152"/>
      <c r="LCG5" s="152"/>
      <c r="LCH5" s="152"/>
      <c r="LCI5" s="152"/>
      <c r="LCJ5" s="152"/>
      <c r="LCK5" s="152"/>
      <c r="LCL5" s="152"/>
      <c r="LCM5" s="152"/>
      <c r="LCN5" s="152"/>
      <c r="LCO5" s="152"/>
      <c r="LCP5" s="152"/>
      <c r="LCQ5" s="152"/>
      <c r="LCR5" s="152"/>
      <c r="LCS5" s="152"/>
      <c r="LCT5" s="152"/>
      <c r="LCU5" s="152"/>
      <c r="LCV5" s="152"/>
      <c r="LCW5" s="152"/>
      <c r="LCX5" s="152"/>
      <c r="LCY5" s="152"/>
      <c r="LCZ5" s="152"/>
      <c r="LDA5" s="152"/>
      <c r="LDB5" s="152"/>
      <c r="LDC5" s="152"/>
      <c r="LDD5" s="152"/>
      <c r="LDE5" s="152"/>
      <c r="LDF5" s="152"/>
      <c r="LDG5" s="152"/>
      <c r="LDH5" s="152"/>
      <c r="LDI5" s="152"/>
      <c r="LDJ5" s="152"/>
      <c r="LDK5" s="152"/>
      <c r="LDL5" s="152"/>
      <c r="LDM5" s="152"/>
      <c r="LDN5" s="152"/>
      <c r="LDO5" s="152"/>
      <c r="LDP5" s="152"/>
      <c r="LDQ5" s="152"/>
      <c r="LDR5" s="152"/>
      <c r="LDS5" s="152"/>
      <c r="LDT5" s="152"/>
      <c r="LDU5" s="152"/>
      <c r="LDV5" s="152"/>
      <c r="LDW5" s="152"/>
      <c r="LDX5" s="152"/>
      <c r="LDY5" s="152"/>
      <c r="LDZ5" s="152"/>
      <c r="LEA5" s="152"/>
      <c r="LEB5" s="152"/>
      <c r="LEC5" s="152"/>
      <c r="LED5" s="152"/>
      <c r="LEE5" s="152"/>
      <c r="LEF5" s="152"/>
      <c r="LEG5" s="152"/>
      <c r="LEH5" s="152"/>
      <c r="LEI5" s="152"/>
      <c r="LEJ5" s="152"/>
      <c r="LEK5" s="152"/>
      <c r="LEL5" s="152"/>
      <c r="LEM5" s="152"/>
      <c r="LEN5" s="152"/>
      <c r="LEO5" s="152"/>
      <c r="LEP5" s="152"/>
      <c r="LEQ5" s="152"/>
      <c r="LER5" s="152"/>
      <c r="LES5" s="152"/>
      <c r="LET5" s="152"/>
      <c r="LEU5" s="152"/>
      <c r="LEV5" s="152"/>
      <c r="LEW5" s="152"/>
      <c r="LEX5" s="152"/>
      <c r="LEY5" s="152"/>
      <c r="LEZ5" s="152"/>
      <c r="LFA5" s="152"/>
      <c r="LFB5" s="152"/>
      <c r="LFC5" s="152"/>
      <c r="LFD5" s="152"/>
      <c r="LFE5" s="152"/>
      <c r="LFF5" s="152"/>
      <c r="LFG5" s="152"/>
      <c r="LFH5" s="152"/>
      <c r="LFI5" s="152"/>
      <c r="LFJ5" s="152"/>
      <c r="LFK5" s="152"/>
      <c r="LFL5" s="152"/>
      <c r="LFM5" s="152"/>
      <c r="LFN5" s="152"/>
      <c r="LFO5" s="152"/>
      <c r="LFP5" s="152"/>
      <c r="LFQ5" s="152"/>
      <c r="LFR5" s="152"/>
      <c r="LFS5" s="152"/>
      <c r="LFT5" s="152"/>
      <c r="LFU5" s="152"/>
      <c r="LFV5" s="152"/>
      <c r="LFW5" s="152"/>
      <c r="LFX5" s="152"/>
      <c r="LFY5" s="152"/>
      <c r="LFZ5" s="152"/>
      <c r="LGA5" s="152"/>
      <c r="LGB5" s="152"/>
      <c r="LGC5" s="152"/>
      <c r="LGD5" s="152"/>
      <c r="LGE5" s="152"/>
      <c r="LGF5" s="152"/>
      <c r="LGG5" s="152"/>
      <c r="LGH5" s="152"/>
      <c r="LGI5" s="152"/>
      <c r="LGJ5" s="152"/>
      <c r="LGK5" s="152"/>
      <c r="LGL5" s="152"/>
      <c r="LGM5" s="152"/>
      <c r="LGN5" s="152"/>
      <c r="LGO5" s="152"/>
      <c r="LGP5" s="152"/>
      <c r="LGQ5" s="152"/>
      <c r="LGR5" s="152"/>
      <c r="LGS5" s="152"/>
      <c r="LGT5" s="152"/>
      <c r="LGU5" s="152"/>
      <c r="LGV5" s="152"/>
      <c r="LGW5" s="152"/>
      <c r="LGX5" s="152"/>
      <c r="LGY5" s="152"/>
      <c r="LGZ5" s="152"/>
      <c r="LHA5" s="152"/>
      <c r="LHB5" s="152"/>
      <c r="LHC5" s="152"/>
      <c r="LHD5" s="152"/>
      <c r="LHE5" s="152"/>
      <c r="LHF5" s="152"/>
      <c r="LHG5" s="152"/>
      <c r="LHH5" s="152"/>
      <c r="LHI5" s="152"/>
      <c r="LHJ5" s="152"/>
      <c r="LHK5" s="152"/>
      <c r="LHL5" s="152"/>
      <c r="LHM5" s="152"/>
      <c r="LHN5" s="152"/>
      <c r="LHO5" s="152"/>
      <c r="LHP5" s="152"/>
      <c r="LHQ5" s="152"/>
      <c r="LHR5" s="152"/>
      <c r="LHS5" s="152"/>
      <c r="LHT5" s="152"/>
      <c r="LHU5" s="152"/>
      <c r="LHV5" s="152"/>
      <c r="LHW5" s="152"/>
      <c r="LHX5" s="152"/>
      <c r="LHY5" s="152"/>
      <c r="LHZ5" s="152"/>
      <c r="LIA5" s="152"/>
      <c r="LIB5" s="152"/>
      <c r="LIC5" s="152"/>
      <c r="LID5" s="152"/>
      <c r="LIE5" s="152"/>
      <c r="LIF5" s="152"/>
      <c r="LIG5" s="152"/>
      <c r="LIH5" s="152"/>
      <c r="LII5" s="152"/>
      <c r="LIJ5" s="152"/>
      <c r="LIK5" s="152"/>
      <c r="LIL5" s="152"/>
      <c r="LIM5" s="152"/>
      <c r="LIN5" s="152"/>
      <c r="LIO5" s="152"/>
      <c r="LIP5" s="152"/>
      <c r="LIQ5" s="152"/>
      <c r="LIR5" s="152"/>
      <c r="LIS5" s="152"/>
      <c r="LIT5" s="152"/>
      <c r="LIU5" s="152"/>
      <c r="LIV5" s="152"/>
      <c r="LIW5" s="152"/>
      <c r="LIX5" s="152"/>
      <c r="LIY5" s="152"/>
      <c r="LIZ5" s="152"/>
      <c r="LJA5" s="152"/>
      <c r="LJB5" s="152"/>
      <c r="LJC5" s="152"/>
      <c r="LJD5" s="152"/>
      <c r="LJE5" s="152"/>
      <c r="LJF5" s="152"/>
      <c r="LJG5" s="152"/>
      <c r="LJH5" s="152"/>
      <c r="LJI5" s="152"/>
      <c r="LJJ5" s="152"/>
      <c r="LJK5" s="152"/>
      <c r="LJL5" s="152"/>
      <c r="LJM5" s="152"/>
      <c r="LJN5" s="152"/>
      <c r="LJO5" s="152"/>
      <c r="LJP5" s="152"/>
      <c r="LJQ5" s="152"/>
      <c r="LJR5" s="152"/>
      <c r="LJS5" s="152"/>
      <c r="LJT5" s="152"/>
      <c r="LJU5" s="152"/>
      <c r="LJV5" s="152"/>
      <c r="LJW5" s="152"/>
      <c r="LJX5" s="152"/>
      <c r="LJY5" s="152"/>
      <c r="LJZ5" s="152"/>
      <c r="LKA5" s="152"/>
      <c r="LKB5" s="152"/>
      <c r="LKC5" s="152"/>
      <c r="LKD5" s="152"/>
      <c r="LKE5" s="152"/>
      <c r="LKF5" s="152"/>
      <c r="LKG5" s="152"/>
      <c r="LKH5" s="152"/>
      <c r="LKI5" s="152"/>
      <c r="LKJ5" s="152"/>
      <c r="LKK5" s="152"/>
      <c r="LKL5" s="152"/>
      <c r="LKM5" s="152"/>
      <c r="LKN5" s="152"/>
      <c r="LKO5" s="152"/>
      <c r="LKP5" s="152"/>
      <c r="LKQ5" s="152"/>
      <c r="LKR5" s="152"/>
      <c r="LKS5" s="152"/>
      <c r="LKT5" s="152"/>
      <c r="LKU5" s="152"/>
      <c r="LKV5" s="152"/>
      <c r="LKW5" s="152"/>
      <c r="LKX5" s="152"/>
      <c r="LKY5" s="152"/>
      <c r="LKZ5" s="152"/>
      <c r="LLA5" s="152"/>
      <c r="LLB5" s="152"/>
      <c r="LLC5" s="152"/>
      <c r="LLD5" s="152"/>
      <c r="LLE5" s="152"/>
      <c r="LLF5" s="152"/>
      <c r="LLG5" s="152"/>
      <c r="LLH5" s="152"/>
      <c r="LLI5" s="152"/>
      <c r="LLJ5" s="152"/>
      <c r="LLK5" s="152"/>
      <c r="LLL5" s="152"/>
      <c r="LLM5" s="152"/>
      <c r="LLN5" s="152"/>
      <c r="LLO5" s="152"/>
      <c r="LLP5" s="152"/>
      <c r="LLQ5" s="152"/>
      <c r="LLR5" s="152"/>
      <c r="LLS5" s="152"/>
      <c r="LLT5" s="152"/>
      <c r="LLU5" s="152"/>
      <c r="LLV5" s="152"/>
      <c r="LLW5" s="152"/>
      <c r="LLX5" s="152"/>
      <c r="LLY5" s="152"/>
      <c r="LLZ5" s="152"/>
      <c r="LMA5" s="152"/>
      <c r="LMB5" s="152"/>
      <c r="LMC5" s="152"/>
      <c r="LMD5" s="152"/>
      <c r="LME5" s="152"/>
      <c r="LMF5" s="152"/>
      <c r="LMG5" s="152"/>
      <c r="LMH5" s="152"/>
      <c r="LMI5" s="152"/>
      <c r="LMJ5" s="152"/>
      <c r="LMK5" s="152"/>
      <c r="LML5" s="152"/>
      <c r="LMM5" s="152"/>
      <c r="LMN5" s="152"/>
      <c r="LMO5" s="152"/>
      <c r="LMP5" s="152"/>
      <c r="LMQ5" s="152"/>
      <c r="LMR5" s="152"/>
      <c r="LMS5" s="152"/>
      <c r="LMT5" s="152"/>
      <c r="LMU5" s="152"/>
      <c r="LMV5" s="152"/>
      <c r="LMW5" s="152"/>
      <c r="LMX5" s="152"/>
      <c r="LMY5" s="152"/>
      <c r="LMZ5" s="152"/>
      <c r="LNA5" s="152"/>
      <c r="LNB5" s="152"/>
      <c r="LNC5" s="152"/>
      <c r="LND5" s="152"/>
      <c r="LNE5" s="152"/>
      <c r="LNF5" s="152"/>
      <c r="LNG5" s="152"/>
      <c r="LNH5" s="152"/>
      <c r="LNI5" s="152"/>
      <c r="LNJ5" s="152"/>
      <c r="LNK5" s="152"/>
      <c r="LNL5" s="152"/>
      <c r="LNM5" s="152"/>
      <c r="LNN5" s="152"/>
      <c r="LNO5" s="152"/>
      <c r="LNP5" s="152"/>
      <c r="LNQ5" s="152"/>
      <c r="LNR5" s="152"/>
      <c r="LNS5" s="152"/>
      <c r="LNT5" s="152"/>
      <c r="LNU5" s="152"/>
      <c r="LNV5" s="152"/>
      <c r="LNW5" s="152"/>
      <c r="LNX5" s="152"/>
      <c r="LNY5" s="152"/>
      <c r="LNZ5" s="152"/>
      <c r="LOA5" s="152"/>
      <c r="LOB5" s="152"/>
      <c r="LOC5" s="152"/>
      <c r="LOD5" s="152"/>
      <c r="LOE5" s="152"/>
      <c r="LOF5" s="152"/>
      <c r="LOG5" s="152"/>
      <c r="LOH5" s="152"/>
      <c r="LOI5" s="152"/>
      <c r="LOJ5" s="152"/>
      <c r="LOK5" s="152"/>
      <c r="LOL5" s="152"/>
      <c r="LOM5" s="152"/>
      <c r="LON5" s="152"/>
      <c r="LOO5" s="152"/>
      <c r="LOP5" s="152"/>
      <c r="LOQ5" s="152"/>
      <c r="LOR5" s="152"/>
      <c r="LOS5" s="152"/>
      <c r="LOT5" s="152"/>
      <c r="LOU5" s="152"/>
      <c r="LOV5" s="152"/>
      <c r="LOW5" s="152"/>
      <c r="LOX5" s="152"/>
      <c r="LOY5" s="152"/>
      <c r="LOZ5" s="152"/>
      <c r="LPA5" s="152"/>
      <c r="LPB5" s="152"/>
      <c r="LPC5" s="152"/>
      <c r="LPD5" s="152"/>
      <c r="LPE5" s="152"/>
      <c r="LPF5" s="152"/>
      <c r="LPG5" s="152"/>
      <c r="LPH5" s="152"/>
      <c r="LPI5" s="152"/>
      <c r="LPJ5" s="152"/>
      <c r="LPK5" s="152"/>
      <c r="LPL5" s="152"/>
      <c r="LPM5" s="152"/>
      <c r="LPN5" s="152"/>
      <c r="LPO5" s="152"/>
      <c r="LPP5" s="152"/>
      <c r="LPQ5" s="152"/>
      <c r="LPR5" s="152"/>
      <c r="LPS5" s="152"/>
      <c r="LPT5" s="152"/>
      <c r="LPU5" s="152"/>
      <c r="LPV5" s="152"/>
      <c r="LPW5" s="152"/>
      <c r="LPX5" s="152"/>
      <c r="LPY5" s="152"/>
      <c r="LPZ5" s="152"/>
      <c r="LQA5" s="152"/>
      <c r="LQB5" s="152"/>
      <c r="LQC5" s="152"/>
      <c r="LQD5" s="152"/>
      <c r="LQE5" s="152"/>
      <c r="LQF5" s="152"/>
      <c r="LQG5" s="152"/>
      <c r="LQH5" s="152"/>
      <c r="LQI5" s="152"/>
      <c r="LQJ5" s="152"/>
      <c r="LQK5" s="152"/>
      <c r="LQL5" s="152"/>
      <c r="LQM5" s="152"/>
      <c r="LQN5" s="152"/>
      <c r="LQO5" s="152"/>
      <c r="LQP5" s="152"/>
      <c r="LQQ5" s="152"/>
      <c r="LQR5" s="152"/>
      <c r="LQS5" s="152"/>
      <c r="LQT5" s="152"/>
      <c r="LQU5" s="152"/>
      <c r="LQV5" s="152"/>
      <c r="LQW5" s="152"/>
      <c r="LQX5" s="152"/>
      <c r="LQY5" s="152"/>
      <c r="LQZ5" s="152"/>
      <c r="LRA5" s="152"/>
      <c r="LRB5" s="152"/>
      <c r="LRC5" s="152"/>
      <c r="LRD5" s="152"/>
      <c r="LRE5" s="152"/>
      <c r="LRF5" s="152"/>
      <c r="LRG5" s="152"/>
      <c r="LRH5" s="152"/>
      <c r="LRI5" s="152"/>
      <c r="LRJ5" s="152"/>
      <c r="LRK5" s="152"/>
      <c r="LRL5" s="152"/>
      <c r="LRM5" s="152"/>
      <c r="LRN5" s="152"/>
      <c r="LRO5" s="152"/>
      <c r="LRP5" s="152"/>
      <c r="LRQ5" s="152"/>
      <c r="LRR5" s="152"/>
      <c r="LRS5" s="152"/>
      <c r="LRT5" s="152"/>
      <c r="LRU5" s="152"/>
      <c r="LRV5" s="152"/>
      <c r="LRW5" s="152"/>
      <c r="LRX5" s="152"/>
      <c r="LRY5" s="152"/>
      <c r="LRZ5" s="152"/>
      <c r="LSA5" s="152"/>
      <c r="LSB5" s="152"/>
      <c r="LSC5" s="152"/>
      <c r="LSD5" s="152"/>
      <c r="LSE5" s="152"/>
      <c r="LSF5" s="152"/>
      <c r="LSG5" s="152"/>
      <c r="LSH5" s="152"/>
      <c r="LSI5" s="152"/>
      <c r="LSJ5" s="152"/>
      <c r="LSK5" s="152"/>
      <c r="LSL5" s="152"/>
      <c r="LSM5" s="152"/>
      <c r="LSN5" s="152"/>
      <c r="LSO5" s="152"/>
      <c r="LSP5" s="152"/>
      <c r="LSQ5" s="152"/>
      <c r="LSR5" s="152"/>
      <c r="LSS5" s="152"/>
      <c r="LST5" s="152"/>
      <c r="LSU5" s="152"/>
      <c r="LSV5" s="152"/>
      <c r="LSW5" s="152"/>
      <c r="LSX5" s="152"/>
      <c r="LSY5" s="152"/>
      <c r="LSZ5" s="152"/>
      <c r="LTA5" s="152"/>
      <c r="LTB5" s="152"/>
      <c r="LTC5" s="152"/>
      <c r="LTD5" s="152"/>
      <c r="LTE5" s="152"/>
      <c r="LTF5" s="152"/>
      <c r="LTG5" s="152"/>
      <c r="LTH5" s="152"/>
      <c r="LTI5" s="152"/>
      <c r="LTJ5" s="152"/>
      <c r="LTK5" s="152"/>
      <c r="LTL5" s="152"/>
      <c r="LTM5" s="152"/>
      <c r="LTN5" s="152"/>
      <c r="LTO5" s="152"/>
      <c r="LTP5" s="152"/>
      <c r="LTQ5" s="152"/>
      <c r="LTR5" s="152"/>
      <c r="LTS5" s="152"/>
      <c r="LTT5" s="152"/>
      <c r="LTU5" s="152"/>
      <c r="LTV5" s="152"/>
      <c r="LTW5" s="152"/>
      <c r="LTX5" s="152"/>
      <c r="LTY5" s="152"/>
      <c r="LTZ5" s="152"/>
      <c r="LUA5" s="152"/>
      <c r="LUB5" s="152"/>
      <c r="LUC5" s="152"/>
      <c r="LUD5" s="152"/>
      <c r="LUE5" s="152"/>
      <c r="LUF5" s="152"/>
      <c r="LUG5" s="152"/>
      <c r="LUH5" s="152"/>
      <c r="LUI5" s="152"/>
      <c r="LUJ5" s="152"/>
      <c r="LUK5" s="152"/>
      <c r="LUL5" s="152"/>
      <c r="LUM5" s="152"/>
      <c r="LUN5" s="152"/>
      <c r="LUO5" s="152"/>
      <c r="LUP5" s="152"/>
      <c r="LUQ5" s="152"/>
      <c r="LUR5" s="152"/>
      <c r="LUS5" s="152"/>
      <c r="LUT5" s="152"/>
      <c r="LUU5" s="152"/>
      <c r="LUV5" s="152"/>
      <c r="LUW5" s="152"/>
      <c r="LUX5" s="152"/>
      <c r="LUY5" s="152"/>
      <c r="LUZ5" s="152"/>
      <c r="LVA5" s="152"/>
      <c r="LVB5" s="152"/>
      <c r="LVC5" s="152"/>
      <c r="LVD5" s="152"/>
      <c r="LVE5" s="152"/>
      <c r="LVF5" s="152"/>
      <c r="LVG5" s="152"/>
      <c r="LVH5" s="152"/>
      <c r="LVI5" s="152"/>
      <c r="LVJ5" s="152"/>
      <c r="LVK5" s="152"/>
      <c r="LVL5" s="152"/>
      <c r="LVM5" s="152"/>
      <c r="LVN5" s="152"/>
      <c r="LVO5" s="152"/>
      <c r="LVP5" s="152"/>
      <c r="LVQ5" s="152"/>
      <c r="LVR5" s="152"/>
      <c r="LVS5" s="152"/>
      <c r="LVT5" s="152"/>
      <c r="LVU5" s="152"/>
      <c r="LVV5" s="152"/>
      <c r="LVW5" s="152"/>
      <c r="LVX5" s="152"/>
      <c r="LVY5" s="152"/>
      <c r="LVZ5" s="152"/>
      <c r="LWA5" s="152"/>
      <c r="LWB5" s="152"/>
      <c r="LWC5" s="152"/>
      <c r="LWD5" s="152"/>
      <c r="LWE5" s="152"/>
      <c r="LWF5" s="152"/>
      <c r="LWG5" s="152"/>
      <c r="LWH5" s="152"/>
      <c r="LWI5" s="152"/>
      <c r="LWJ5" s="152"/>
      <c r="LWK5" s="152"/>
      <c r="LWL5" s="152"/>
      <c r="LWM5" s="152"/>
      <c r="LWN5" s="152"/>
      <c r="LWO5" s="152"/>
      <c r="LWP5" s="152"/>
      <c r="LWQ5" s="152"/>
      <c r="LWR5" s="152"/>
      <c r="LWS5" s="152"/>
      <c r="LWT5" s="152"/>
      <c r="LWU5" s="152"/>
      <c r="LWV5" s="152"/>
      <c r="LWW5" s="152"/>
      <c r="LWX5" s="152"/>
      <c r="LWY5" s="152"/>
      <c r="LWZ5" s="152"/>
      <c r="LXA5" s="152"/>
      <c r="LXB5" s="152"/>
      <c r="LXC5" s="152"/>
      <c r="LXD5" s="152"/>
      <c r="LXE5" s="152"/>
      <c r="LXF5" s="152"/>
      <c r="LXG5" s="152"/>
      <c r="LXH5" s="152"/>
      <c r="LXI5" s="152"/>
      <c r="LXJ5" s="152"/>
      <c r="LXK5" s="152"/>
      <c r="LXL5" s="152"/>
      <c r="LXM5" s="152"/>
      <c r="LXN5" s="152"/>
      <c r="LXO5" s="152"/>
      <c r="LXP5" s="152"/>
      <c r="LXQ5" s="152"/>
      <c r="LXR5" s="152"/>
      <c r="LXS5" s="152"/>
      <c r="LXT5" s="152"/>
      <c r="LXU5" s="152"/>
      <c r="LXV5" s="152"/>
      <c r="LXW5" s="152"/>
      <c r="LXX5" s="152"/>
      <c r="LXY5" s="152"/>
      <c r="LXZ5" s="152"/>
      <c r="LYA5" s="152"/>
      <c r="LYB5" s="152"/>
      <c r="LYC5" s="152"/>
      <c r="LYD5" s="152"/>
      <c r="LYE5" s="152"/>
      <c r="LYF5" s="152"/>
      <c r="LYG5" s="152"/>
      <c r="LYH5" s="152"/>
      <c r="LYI5" s="152"/>
      <c r="LYJ5" s="152"/>
      <c r="LYK5" s="152"/>
      <c r="LYL5" s="152"/>
      <c r="LYM5" s="152"/>
      <c r="LYN5" s="152"/>
      <c r="LYO5" s="152"/>
      <c r="LYP5" s="152"/>
      <c r="LYQ5" s="152"/>
      <c r="LYR5" s="152"/>
      <c r="LYS5" s="152"/>
      <c r="LYT5" s="152"/>
      <c r="LYU5" s="152"/>
      <c r="LYV5" s="152"/>
      <c r="LYW5" s="152"/>
      <c r="LYX5" s="152"/>
      <c r="LYY5" s="152"/>
      <c r="LYZ5" s="152"/>
      <c r="LZA5" s="152"/>
      <c r="LZB5" s="152"/>
      <c r="LZC5" s="152"/>
      <c r="LZD5" s="152"/>
      <c r="LZE5" s="152"/>
      <c r="LZF5" s="152"/>
      <c r="LZG5" s="152"/>
      <c r="LZH5" s="152"/>
      <c r="LZI5" s="152"/>
      <c r="LZJ5" s="152"/>
      <c r="LZK5" s="152"/>
      <c r="LZL5" s="152"/>
      <c r="LZM5" s="152"/>
      <c r="LZN5" s="152"/>
      <c r="LZO5" s="152"/>
      <c r="LZP5" s="152"/>
      <c r="LZQ5" s="152"/>
      <c r="LZR5" s="152"/>
      <c r="LZS5" s="152"/>
      <c r="LZT5" s="152"/>
      <c r="LZU5" s="152"/>
      <c r="LZV5" s="152"/>
      <c r="LZW5" s="152"/>
      <c r="LZX5" s="152"/>
      <c r="LZY5" s="152"/>
      <c r="LZZ5" s="152"/>
      <c r="MAA5" s="152"/>
      <c r="MAB5" s="152"/>
      <c r="MAC5" s="152"/>
      <c r="MAD5" s="152"/>
      <c r="MAE5" s="152"/>
      <c r="MAF5" s="152"/>
      <c r="MAG5" s="152"/>
      <c r="MAH5" s="152"/>
      <c r="MAI5" s="152"/>
      <c r="MAJ5" s="152"/>
      <c r="MAK5" s="152"/>
      <c r="MAL5" s="152"/>
      <c r="MAM5" s="152"/>
      <c r="MAN5" s="152"/>
      <c r="MAO5" s="152"/>
      <c r="MAP5" s="152"/>
      <c r="MAQ5" s="152"/>
      <c r="MAR5" s="152"/>
      <c r="MAS5" s="152"/>
      <c r="MAT5" s="152"/>
      <c r="MAU5" s="152"/>
      <c r="MAV5" s="152"/>
      <c r="MAW5" s="152"/>
      <c r="MAX5" s="152"/>
      <c r="MAY5" s="152"/>
      <c r="MAZ5" s="152"/>
      <c r="MBA5" s="152"/>
      <c r="MBB5" s="152"/>
      <c r="MBC5" s="152"/>
      <c r="MBD5" s="152"/>
      <c r="MBE5" s="152"/>
      <c r="MBF5" s="152"/>
      <c r="MBG5" s="152"/>
      <c r="MBH5" s="152"/>
      <c r="MBI5" s="152"/>
      <c r="MBJ5" s="152"/>
      <c r="MBK5" s="152"/>
      <c r="MBL5" s="152"/>
      <c r="MBM5" s="152"/>
      <c r="MBN5" s="152"/>
      <c r="MBO5" s="152"/>
      <c r="MBP5" s="152"/>
      <c r="MBQ5" s="152"/>
      <c r="MBR5" s="152"/>
      <c r="MBS5" s="152"/>
      <c r="MBT5" s="152"/>
      <c r="MBU5" s="152"/>
      <c r="MBV5" s="152"/>
      <c r="MBW5" s="152"/>
      <c r="MBX5" s="152"/>
      <c r="MBY5" s="152"/>
      <c r="MBZ5" s="152"/>
      <c r="MCA5" s="152"/>
      <c r="MCB5" s="152"/>
      <c r="MCC5" s="152"/>
      <c r="MCD5" s="152"/>
      <c r="MCE5" s="152"/>
      <c r="MCF5" s="152"/>
      <c r="MCG5" s="152"/>
      <c r="MCH5" s="152"/>
      <c r="MCI5" s="152"/>
      <c r="MCJ5" s="152"/>
      <c r="MCK5" s="152"/>
      <c r="MCL5" s="152"/>
      <c r="MCM5" s="152"/>
      <c r="MCN5" s="152"/>
      <c r="MCO5" s="152"/>
      <c r="MCP5" s="152"/>
      <c r="MCQ5" s="152"/>
      <c r="MCR5" s="152"/>
      <c r="MCS5" s="152"/>
      <c r="MCT5" s="152"/>
      <c r="MCU5" s="152"/>
      <c r="MCV5" s="152"/>
      <c r="MCW5" s="152"/>
      <c r="MCX5" s="152"/>
      <c r="MCY5" s="152"/>
      <c r="MCZ5" s="152"/>
      <c r="MDA5" s="152"/>
      <c r="MDB5" s="152"/>
      <c r="MDC5" s="152"/>
      <c r="MDD5" s="152"/>
      <c r="MDE5" s="152"/>
      <c r="MDF5" s="152"/>
      <c r="MDG5" s="152"/>
      <c r="MDH5" s="152"/>
      <c r="MDI5" s="152"/>
      <c r="MDJ5" s="152"/>
      <c r="MDK5" s="152"/>
      <c r="MDL5" s="152"/>
      <c r="MDM5" s="152"/>
      <c r="MDN5" s="152"/>
      <c r="MDO5" s="152"/>
      <c r="MDP5" s="152"/>
      <c r="MDQ5" s="152"/>
      <c r="MDR5" s="152"/>
      <c r="MDS5" s="152"/>
      <c r="MDT5" s="152"/>
      <c r="MDU5" s="152"/>
      <c r="MDV5" s="152"/>
      <c r="MDW5" s="152"/>
      <c r="MDX5" s="152"/>
      <c r="MDY5" s="152"/>
      <c r="MDZ5" s="152"/>
      <c r="MEA5" s="152"/>
      <c r="MEB5" s="152"/>
      <c r="MEC5" s="152"/>
      <c r="MED5" s="152"/>
      <c r="MEE5" s="152"/>
      <c r="MEF5" s="152"/>
      <c r="MEG5" s="152"/>
      <c r="MEH5" s="152"/>
      <c r="MEI5" s="152"/>
      <c r="MEJ5" s="152"/>
      <c r="MEK5" s="152"/>
      <c r="MEL5" s="152"/>
      <c r="MEM5" s="152"/>
      <c r="MEN5" s="152"/>
      <c r="MEO5" s="152"/>
      <c r="MEP5" s="152"/>
      <c r="MEQ5" s="152"/>
      <c r="MER5" s="152"/>
      <c r="MES5" s="152"/>
      <c r="MET5" s="152"/>
      <c r="MEU5" s="152"/>
      <c r="MEV5" s="152"/>
      <c r="MEW5" s="152"/>
      <c r="MEX5" s="152"/>
      <c r="MEY5" s="152"/>
      <c r="MEZ5" s="152"/>
      <c r="MFA5" s="152"/>
      <c r="MFB5" s="152"/>
      <c r="MFC5" s="152"/>
      <c r="MFD5" s="152"/>
      <c r="MFE5" s="152"/>
      <c r="MFF5" s="152"/>
      <c r="MFG5" s="152"/>
      <c r="MFH5" s="152"/>
      <c r="MFI5" s="152"/>
      <c r="MFJ5" s="152"/>
      <c r="MFK5" s="152"/>
      <c r="MFL5" s="152"/>
      <c r="MFM5" s="152"/>
      <c r="MFN5" s="152"/>
      <c r="MFO5" s="152"/>
      <c r="MFP5" s="152"/>
      <c r="MFQ5" s="152"/>
      <c r="MFR5" s="152"/>
      <c r="MFS5" s="152"/>
      <c r="MFT5" s="152"/>
      <c r="MFU5" s="152"/>
      <c r="MFV5" s="152"/>
      <c r="MFW5" s="152"/>
      <c r="MFX5" s="152"/>
      <c r="MFY5" s="152"/>
      <c r="MFZ5" s="152"/>
      <c r="MGA5" s="152"/>
      <c r="MGB5" s="152"/>
      <c r="MGC5" s="152"/>
      <c r="MGD5" s="152"/>
      <c r="MGE5" s="152"/>
      <c r="MGF5" s="152"/>
      <c r="MGG5" s="152"/>
      <c r="MGH5" s="152"/>
      <c r="MGI5" s="152"/>
      <c r="MGJ5" s="152"/>
      <c r="MGK5" s="152"/>
      <c r="MGL5" s="152"/>
      <c r="MGM5" s="152"/>
      <c r="MGN5" s="152"/>
      <c r="MGO5" s="152"/>
      <c r="MGP5" s="152"/>
      <c r="MGQ5" s="152"/>
      <c r="MGR5" s="152"/>
      <c r="MGS5" s="152"/>
      <c r="MGT5" s="152"/>
      <c r="MGU5" s="152"/>
      <c r="MGV5" s="152"/>
      <c r="MGW5" s="152"/>
      <c r="MGX5" s="152"/>
      <c r="MGY5" s="152"/>
      <c r="MGZ5" s="152"/>
      <c r="MHA5" s="152"/>
      <c r="MHB5" s="152"/>
      <c r="MHC5" s="152"/>
      <c r="MHD5" s="152"/>
      <c r="MHE5" s="152"/>
      <c r="MHF5" s="152"/>
      <c r="MHG5" s="152"/>
      <c r="MHH5" s="152"/>
      <c r="MHI5" s="152"/>
      <c r="MHJ5" s="152"/>
      <c r="MHK5" s="152"/>
      <c r="MHL5" s="152"/>
      <c r="MHM5" s="152"/>
      <c r="MHN5" s="152"/>
      <c r="MHO5" s="152"/>
      <c r="MHP5" s="152"/>
      <c r="MHQ5" s="152"/>
      <c r="MHR5" s="152"/>
      <c r="MHS5" s="152"/>
      <c r="MHT5" s="152"/>
      <c r="MHU5" s="152"/>
      <c r="MHV5" s="152"/>
      <c r="MHW5" s="152"/>
      <c r="MHX5" s="152"/>
      <c r="MHY5" s="152"/>
      <c r="MHZ5" s="152"/>
      <c r="MIA5" s="152"/>
      <c r="MIB5" s="152"/>
      <c r="MIC5" s="152"/>
      <c r="MID5" s="152"/>
      <c r="MIE5" s="152"/>
      <c r="MIF5" s="152"/>
      <c r="MIG5" s="152"/>
      <c r="MIH5" s="152"/>
      <c r="MII5" s="152"/>
      <c r="MIJ5" s="152"/>
      <c r="MIK5" s="152"/>
      <c r="MIL5" s="152"/>
      <c r="MIM5" s="152"/>
      <c r="MIN5" s="152"/>
      <c r="MIO5" s="152"/>
      <c r="MIP5" s="152"/>
      <c r="MIQ5" s="152"/>
      <c r="MIR5" s="152"/>
      <c r="MIS5" s="152"/>
      <c r="MIT5" s="152"/>
      <c r="MIU5" s="152"/>
      <c r="MIV5" s="152"/>
      <c r="MIW5" s="152"/>
      <c r="MIX5" s="152"/>
      <c r="MIY5" s="152"/>
      <c r="MIZ5" s="152"/>
      <c r="MJA5" s="152"/>
      <c r="MJB5" s="152"/>
      <c r="MJC5" s="152"/>
      <c r="MJD5" s="152"/>
      <c r="MJE5" s="152"/>
      <c r="MJF5" s="152"/>
      <c r="MJG5" s="152"/>
      <c r="MJH5" s="152"/>
      <c r="MJI5" s="152"/>
      <c r="MJJ5" s="152"/>
      <c r="MJK5" s="152"/>
      <c r="MJL5" s="152"/>
      <c r="MJM5" s="152"/>
      <c r="MJN5" s="152"/>
      <c r="MJO5" s="152"/>
      <c r="MJP5" s="152"/>
      <c r="MJQ5" s="152"/>
      <c r="MJR5" s="152"/>
      <c r="MJS5" s="152"/>
      <c r="MJT5" s="152"/>
      <c r="MJU5" s="152"/>
      <c r="MJV5" s="152"/>
      <c r="MJW5" s="152"/>
      <c r="MJX5" s="152"/>
      <c r="MJY5" s="152"/>
      <c r="MJZ5" s="152"/>
      <c r="MKA5" s="152"/>
      <c r="MKB5" s="152"/>
      <c r="MKC5" s="152"/>
      <c r="MKD5" s="152"/>
      <c r="MKE5" s="152"/>
      <c r="MKF5" s="152"/>
      <c r="MKG5" s="152"/>
      <c r="MKH5" s="152"/>
      <c r="MKI5" s="152"/>
      <c r="MKJ5" s="152"/>
      <c r="MKK5" s="152"/>
      <c r="MKL5" s="152"/>
      <c r="MKM5" s="152"/>
      <c r="MKN5" s="152"/>
      <c r="MKO5" s="152"/>
      <c r="MKP5" s="152"/>
      <c r="MKQ5" s="152"/>
      <c r="MKR5" s="152"/>
      <c r="MKS5" s="152"/>
      <c r="MKT5" s="152"/>
      <c r="MKU5" s="152"/>
      <c r="MKV5" s="152"/>
      <c r="MKW5" s="152"/>
      <c r="MKX5" s="152"/>
      <c r="MKY5" s="152"/>
      <c r="MKZ5" s="152"/>
      <c r="MLA5" s="152"/>
      <c r="MLB5" s="152"/>
      <c r="MLC5" s="152"/>
      <c r="MLD5" s="152"/>
      <c r="MLE5" s="152"/>
      <c r="MLF5" s="152"/>
      <c r="MLG5" s="152"/>
      <c r="MLH5" s="152"/>
      <c r="MLI5" s="152"/>
      <c r="MLJ5" s="152"/>
      <c r="MLK5" s="152"/>
      <c r="MLL5" s="152"/>
      <c r="MLM5" s="152"/>
      <c r="MLN5" s="152"/>
      <c r="MLO5" s="152"/>
      <c r="MLP5" s="152"/>
      <c r="MLQ5" s="152"/>
      <c r="MLR5" s="152"/>
      <c r="MLS5" s="152"/>
      <c r="MLT5" s="152"/>
      <c r="MLU5" s="152"/>
      <c r="MLV5" s="152"/>
      <c r="MLW5" s="152"/>
      <c r="MLX5" s="152"/>
      <c r="MLY5" s="152"/>
      <c r="MLZ5" s="152"/>
      <c r="MMA5" s="152"/>
      <c r="MMB5" s="152"/>
      <c r="MMC5" s="152"/>
      <c r="MMD5" s="152"/>
      <c r="MME5" s="152"/>
      <c r="MMF5" s="152"/>
      <c r="MMG5" s="152"/>
      <c r="MMH5" s="152"/>
      <c r="MMI5" s="152"/>
      <c r="MMJ5" s="152"/>
      <c r="MMK5" s="152"/>
      <c r="MML5" s="152"/>
      <c r="MMM5" s="152"/>
      <c r="MMN5" s="152"/>
      <c r="MMO5" s="152"/>
      <c r="MMP5" s="152"/>
      <c r="MMQ5" s="152"/>
      <c r="MMR5" s="152"/>
      <c r="MMS5" s="152"/>
      <c r="MMT5" s="152"/>
      <c r="MMU5" s="152"/>
      <c r="MMV5" s="152"/>
      <c r="MMW5" s="152"/>
      <c r="MMX5" s="152"/>
      <c r="MMY5" s="152"/>
      <c r="MMZ5" s="152"/>
      <c r="MNA5" s="152"/>
      <c r="MNB5" s="152"/>
      <c r="MNC5" s="152"/>
      <c r="MND5" s="152"/>
      <c r="MNE5" s="152"/>
      <c r="MNF5" s="152"/>
      <c r="MNG5" s="152"/>
      <c r="MNH5" s="152"/>
      <c r="MNI5" s="152"/>
      <c r="MNJ5" s="152"/>
      <c r="MNK5" s="152"/>
      <c r="MNL5" s="152"/>
      <c r="MNM5" s="152"/>
      <c r="MNN5" s="152"/>
      <c r="MNO5" s="152"/>
      <c r="MNP5" s="152"/>
      <c r="MNQ5" s="152"/>
      <c r="MNR5" s="152"/>
      <c r="MNS5" s="152"/>
      <c r="MNT5" s="152"/>
      <c r="MNU5" s="152"/>
      <c r="MNV5" s="152"/>
      <c r="MNW5" s="152"/>
      <c r="MNX5" s="152"/>
      <c r="MNY5" s="152"/>
      <c r="MNZ5" s="152"/>
      <c r="MOA5" s="152"/>
      <c r="MOB5" s="152"/>
      <c r="MOC5" s="152"/>
      <c r="MOD5" s="152"/>
      <c r="MOE5" s="152"/>
      <c r="MOF5" s="152"/>
      <c r="MOG5" s="152"/>
      <c r="MOH5" s="152"/>
      <c r="MOI5" s="152"/>
      <c r="MOJ5" s="152"/>
      <c r="MOK5" s="152"/>
      <c r="MOL5" s="152"/>
      <c r="MOM5" s="152"/>
      <c r="MON5" s="152"/>
      <c r="MOO5" s="152"/>
      <c r="MOP5" s="152"/>
      <c r="MOQ5" s="152"/>
      <c r="MOR5" s="152"/>
      <c r="MOS5" s="152"/>
      <c r="MOT5" s="152"/>
      <c r="MOU5" s="152"/>
      <c r="MOV5" s="152"/>
      <c r="MOW5" s="152"/>
      <c r="MOX5" s="152"/>
      <c r="MOY5" s="152"/>
      <c r="MOZ5" s="152"/>
      <c r="MPA5" s="152"/>
      <c r="MPB5" s="152"/>
      <c r="MPC5" s="152"/>
      <c r="MPD5" s="152"/>
      <c r="MPE5" s="152"/>
      <c r="MPF5" s="152"/>
      <c r="MPG5" s="152"/>
      <c r="MPH5" s="152"/>
      <c r="MPI5" s="152"/>
      <c r="MPJ5" s="152"/>
      <c r="MPK5" s="152"/>
      <c r="MPL5" s="152"/>
      <c r="MPM5" s="152"/>
      <c r="MPN5" s="152"/>
      <c r="MPO5" s="152"/>
      <c r="MPP5" s="152"/>
      <c r="MPQ5" s="152"/>
      <c r="MPR5" s="152"/>
      <c r="MPS5" s="152"/>
      <c r="MPT5" s="152"/>
      <c r="MPU5" s="152"/>
      <c r="MPV5" s="152"/>
      <c r="MPW5" s="152"/>
      <c r="MPX5" s="152"/>
      <c r="MPY5" s="152"/>
      <c r="MPZ5" s="152"/>
      <c r="MQA5" s="152"/>
      <c r="MQB5" s="152"/>
      <c r="MQC5" s="152"/>
      <c r="MQD5" s="152"/>
      <c r="MQE5" s="152"/>
      <c r="MQF5" s="152"/>
      <c r="MQG5" s="152"/>
      <c r="MQH5" s="152"/>
      <c r="MQI5" s="152"/>
      <c r="MQJ5" s="152"/>
      <c r="MQK5" s="152"/>
      <c r="MQL5" s="152"/>
      <c r="MQM5" s="152"/>
      <c r="MQN5" s="152"/>
      <c r="MQO5" s="152"/>
      <c r="MQP5" s="152"/>
      <c r="MQQ5" s="152"/>
      <c r="MQR5" s="152"/>
      <c r="MQS5" s="152"/>
      <c r="MQT5" s="152"/>
      <c r="MQU5" s="152"/>
      <c r="MQV5" s="152"/>
      <c r="MQW5" s="152"/>
      <c r="MQX5" s="152"/>
      <c r="MQY5" s="152"/>
      <c r="MQZ5" s="152"/>
      <c r="MRA5" s="152"/>
      <c r="MRB5" s="152"/>
      <c r="MRC5" s="152"/>
      <c r="MRD5" s="152"/>
      <c r="MRE5" s="152"/>
      <c r="MRF5" s="152"/>
      <c r="MRG5" s="152"/>
      <c r="MRH5" s="152"/>
      <c r="MRI5" s="152"/>
      <c r="MRJ5" s="152"/>
      <c r="MRK5" s="152"/>
      <c r="MRL5" s="152"/>
      <c r="MRM5" s="152"/>
      <c r="MRN5" s="152"/>
      <c r="MRO5" s="152"/>
      <c r="MRP5" s="152"/>
      <c r="MRQ5" s="152"/>
      <c r="MRR5" s="152"/>
      <c r="MRS5" s="152"/>
      <c r="MRT5" s="152"/>
      <c r="MRU5" s="152"/>
      <c r="MRV5" s="152"/>
      <c r="MRW5" s="152"/>
      <c r="MRX5" s="152"/>
      <c r="MRY5" s="152"/>
      <c r="MRZ5" s="152"/>
      <c r="MSA5" s="152"/>
      <c r="MSB5" s="152"/>
      <c r="MSC5" s="152"/>
      <c r="MSD5" s="152"/>
      <c r="MSE5" s="152"/>
      <c r="MSF5" s="152"/>
      <c r="MSG5" s="152"/>
      <c r="MSH5" s="152"/>
      <c r="MSI5" s="152"/>
      <c r="MSJ5" s="152"/>
      <c r="MSK5" s="152"/>
      <c r="MSL5" s="152"/>
      <c r="MSM5" s="152"/>
      <c r="MSN5" s="152"/>
      <c r="MSO5" s="152"/>
      <c r="MSP5" s="152"/>
      <c r="MSQ5" s="152"/>
      <c r="MSR5" s="152"/>
      <c r="MSS5" s="152"/>
      <c r="MST5" s="152"/>
      <c r="MSU5" s="152"/>
      <c r="MSV5" s="152"/>
      <c r="MSW5" s="152"/>
      <c r="MSX5" s="152"/>
      <c r="MSY5" s="152"/>
      <c r="MSZ5" s="152"/>
      <c r="MTA5" s="152"/>
      <c r="MTB5" s="152"/>
      <c r="MTC5" s="152"/>
      <c r="MTD5" s="152"/>
      <c r="MTE5" s="152"/>
      <c r="MTF5" s="152"/>
      <c r="MTG5" s="152"/>
      <c r="MTH5" s="152"/>
      <c r="MTI5" s="152"/>
      <c r="MTJ5" s="152"/>
      <c r="MTK5" s="152"/>
      <c r="MTL5" s="152"/>
      <c r="MTM5" s="152"/>
      <c r="MTN5" s="152"/>
      <c r="MTO5" s="152"/>
      <c r="MTP5" s="152"/>
      <c r="MTQ5" s="152"/>
      <c r="MTR5" s="152"/>
      <c r="MTS5" s="152"/>
      <c r="MTT5" s="152"/>
      <c r="MTU5" s="152"/>
      <c r="MTV5" s="152"/>
      <c r="MTW5" s="152"/>
      <c r="MTX5" s="152"/>
      <c r="MTY5" s="152"/>
      <c r="MTZ5" s="152"/>
      <c r="MUA5" s="152"/>
      <c r="MUB5" s="152"/>
      <c r="MUC5" s="152"/>
      <c r="MUD5" s="152"/>
      <c r="MUE5" s="152"/>
      <c r="MUF5" s="152"/>
      <c r="MUG5" s="152"/>
      <c r="MUH5" s="152"/>
      <c r="MUI5" s="152"/>
      <c r="MUJ5" s="152"/>
      <c r="MUK5" s="152"/>
      <c r="MUL5" s="152"/>
      <c r="MUM5" s="152"/>
      <c r="MUN5" s="152"/>
      <c r="MUO5" s="152"/>
      <c r="MUP5" s="152"/>
      <c r="MUQ5" s="152"/>
      <c r="MUR5" s="152"/>
      <c r="MUS5" s="152"/>
      <c r="MUT5" s="152"/>
      <c r="MUU5" s="152"/>
      <c r="MUV5" s="152"/>
      <c r="MUW5" s="152"/>
      <c r="MUX5" s="152"/>
      <c r="MUY5" s="152"/>
      <c r="MUZ5" s="152"/>
      <c r="MVA5" s="152"/>
      <c r="MVB5" s="152"/>
      <c r="MVC5" s="152"/>
      <c r="MVD5" s="152"/>
      <c r="MVE5" s="152"/>
      <c r="MVF5" s="152"/>
      <c r="MVG5" s="152"/>
      <c r="MVH5" s="152"/>
      <c r="MVI5" s="152"/>
      <c r="MVJ5" s="152"/>
      <c r="MVK5" s="152"/>
      <c r="MVL5" s="152"/>
      <c r="MVM5" s="152"/>
      <c r="MVN5" s="152"/>
      <c r="MVO5" s="152"/>
      <c r="MVP5" s="152"/>
      <c r="MVQ5" s="152"/>
      <c r="MVR5" s="152"/>
      <c r="MVS5" s="152"/>
      <c r="MVT5" s="152"/>
      <c r="MVU5" s="152"/>
      <c r="MVV5" s="152"/>
      <c r="MVW5" s="152"/>
      <c r="MVX5" s="152"/>
      <c r="MVY5" s="152"/>
      <c r="MVZ5" s="152"/>
      <c r="MWA5" s="152"/>
      <c r="MWB5" s="152"/>
      <c r="MWC5" s="152"/>
      <c r="MWD5" s="152"/>
      <c r="MWE5" s="152"/>
      <c r="MWF5" s="152"/>
      <c r="MWG5" s="152"/>
      <c r="MWH5" s="152"/>
      <c r="MWI5" s="152"/>
      <c r="MWJ5" s="152"/>
      <c r="MWK5" s="152"/>
      <c r="MWL5" s="152"/>
      <c r="MWM5" s="152"/>
      <c r="MWN5" s="152"/>
      <c r="MWO5" s="152"/>
      <c r="MWP5" s="152"/>
      <c r="MWQ5" s="152"/>
      <c r="MWR5" s="152"/>
      <c r="MWS5" s="152"/>
      <c r="MWT5" s="152"/>
      <c r="MWU5" s="152"/>
      <c r="MWV5" s="152"/>
      <c r="MWW5" s="152"/>
      <c r="MWX5" s="152"/>
      <c r="MWY5" s="152"/>
      <c r="MWZ5" s="152"/>
      <c r="MXA5" s="152"/>
      <c r="MXB5" s="152"/>
      <c r="MXC5" s="152"/>
      <c r="MXD5" s="152"/>
      <c r="MXE5" s="152"/>
      <c r="MXF5" s="152"/>
      <c r="MXG5" s="152"/>
      <c r="MXH5" s="152"/>
      <c r="MXI5" s="152"/>
      <c r="MXJ5" s="152"/>
      <c r="MXK5" s="152"/>
      <c r="MXL5" s="152"/>
      <c r="MXM5" s="152"/>
      <c r="MXN5" s="152"/>
      <c r="MXO5" s="152"/>
      <c r="MXP5" s="152"/>
      <c r="MXQ5" s="152"/>
      <c r="MXR5" s="152"/>
      <c r="MXS5" s="152"/>
      <c r="MXT5" s="152"/>
      <c r="MXU5" s="152"/>
      <c r="MXV5" s="152"/>
      <c r="MXW5" s="152"/>
      <c r="MXX5" s="152"/>
      <c r="MXY5" s="152"/>
      <c r="MXZ5" s="152"/>
      <c r="MYA5" s="152"/>
      <c r="MYB5" s="152"/>
      <c r="MYC5" s="152"/>
      <c r="MYD5" s="152"/>
      <c r="MYE5" s="152"/>
      <c r="MYF5" s="152"/>
      <c r="MYG5" s="152"/>
      <c r="MYH5" s="152"/>
      <c r="MYI5" s="152"/>
      <c r="MYJ5" s="152"/>
      <c r="MYK5" s="152"/>
      <c r="MYL5" s="152"/>
      <c r="MYM5" s="152"/>
      <c r="MYN5" s="152"/>
      <c r="MYO5" s="152"/>
      <c r="MYP5" s="152"/>
      <c r="MYQ5" s="152"/>
      <c r="MYR5" s="152"/>
      <c r="MYS5" s="152"/>
      <c r="MYT5" s="152"/>
      <c r="MYU5" s="152"/>
      <c r="MYV5" s="152"/>
      <c r="MYW5" s="152"/>
      <c r="MYX5" s="152"/>
      <c r="MYY5" s="152"/>
      <c r="MYZ5" s="152"/>
      <c r="MZA5" s="152"/>
      <c r="MZB5" s="152"/>
      <c r="MZC5" s="152"/>
      <c r="MZD5" s="152"/>
      <c r="MZE5" s="152"/>
      <c r="MZF5" s="152"/>
      <c r="MZG5" s="152"/>
      <c r="MZH5" s="152"/>
      <c r="MZI5" s="152"/>
      <c r="MZJ5" s="152"/>
      <c r="MZK5" s="152"/>
      <c r="MZL5" s="152"/>
      <c r="MZM5" s="152"/>
      <c r="MZN5" s="152"/>
      <c r="MZO5" s="152"/>
      <c r="MZP5" s="152"/>
      <c r="MZQ5" s="152"/>
      <c r="MZR5" s="152"/>
      <c r="MZS5" s="152"/>
      <c r="MZT5" s="152"/>
      <c r="MZU5" s="152"/>
      <c r="MZV5" s="152"/>
      <c r="MZW5" s="152"/>
      <c r="MZX5" s="152"/>
      <c r="MZY5" s="152"/>
      <c r="MZZ5" s="152"/>
      <c r="NAA5" s="152"/>
      <c r="NAB5" s="152"/>
      <c r="NAC5" s="152"/>
      <c r="NAD5" s="152"/>
      <c r="NAE5" s="152"/>
      <c r="NAF5" s="152"/>
      <c r="NAG5" s="152"/>
      <c r="NAH5" s="152"/>
      <c r="NAI5" s="152"/>
      <c r="NAJ5" s="152"/>
      <c r="NAK5" s="152"/>
      <c r="NAL5" s="152"/>
      <c r="NAM5" s="152"/>
      <c r="NAN5" s="152"/>
      <c r="NAO5" s="152"/>
      <c r="NAP5" s="152"/>
      <c r="NAQ5" s="152"/>
      <c r="NAR5" s="152"/>
      <c r="NAS5" s="152"/>
      <c r="NAT5" s="152"/>
      <c r="NAU5" s="152"/>
      <c r="NAV5" s="152"/>
      <c r="NAW5" s="152"/>
      <c r="NAX5" s="152"/>
      <c r="NAY5" s="152"/>
      <c r="NAZ5" s="152"/>
      <c r="NBA5" s="152"/>
      <c r="NBB5" s="152"/>
      <c r="NBC5" s="152"/>
      <c r="NBD5" s="152"/>
      <c r="NBE5" s="152"/>
      <c r="NBF5" s="152"/>
      <c r="NBG5" s="152"/>
      <c r="NBH5" s="152"/>
      <c r="NBI5" s="152"/>
      <c r="NBJ5" s="152"/>
      <c r="NBK5" s="152"/>
      <c r="NBL5" s="152"/>
      <c r="NBM5" s="152"/>
      <c r="NBN5" s="152"/>
      <c r="NBO5" s="152"/>
      <c r="NBP5" s="152"/>
      <c r="NBQ5" s="152"/>
      <c r="NBR5" s="152"/>
      <c r="NBS5" s="152"/>
      <c r="NBT5" s="152"/>
      <c r="NBU5" s="152"/>
      <c r="NBV5" s="152"/>
      <c r="NBW5" s="152"/>
      <c r="NBX5" s="152"/>
      <c r="NBY5" s="152"/>
      <c r="NBZ5" s="152"/>
      <c r="NCA5" s="152"/>
      <c r="NCB5" s="152"/>
      <c r="NCC5" s="152"/>
      <c r="NCD5" s="152"/>
      <c r="NCE5" s="152"/>
      <c r="NCF5" s="152"/>
      <c r="NCG5" s="152"/>
      <c r="NCH5" s="152"/>
      <c r="NCI5" s="152"/>
      <c r="NCJ5" s="152"/>
      <c r="NCK5" s="152"/>
      <c r="NCL5" s="152"/>
      <c r="NCM5" s="152"/>
      <c r="NCN5" s="152"/>
      <c r="NCO5" s="152"/>
      <c r="NCP5" s="152"/>
      <c r="NCQ5" s="152"/>
      <c r="NCR5" s="152"/>
      <c r="NCS5" s="152"/>
      <c r="NCT5" s="152"/>
      <c r="NCU5" s="152"/>
      <c r="NCV5" s="152"/>
      <c r="NCW5" s="152"/>
      <c r="NCX5" s="152"/>
      <c r="NCY5" s="152"/>
      <c r="NCZ5" s="152"/>
      <c r="NDA5" s="152"/>
      <c r="NDB5" s="152"/>
      <c r="NDC5" s="152"/>
      <c r="NDD5" s="152"/>
      <c r="NDE5" s="152"/>
      <c r="NDF5" s="152"/>
      <c r="NDG5" s="152"/>
      <c r="NDH5" s="152"/>
      <c r="NDI5" s="152"/>
      <c r="NDJ5" s="152"/>
      <c r="NDK5" s="152"/>
      <c r="NDL5" s="152"/>
      <c r="NDM5" s="152"/>
      <c r="NDN5" s="152"/>
      <c r="NDO5" s="152"/>
      <c r="NDP5" s="152"/>
      <c r="NDQ5" s="152"/>
      <c r="NDR5" s="152"/>
      <c r="NDS5" s="152"/>
      <c r="NDT5" s="152"/>
      <c r="NDU5" s="152"/>
      <c r="NDV5" s="152"/>
      <c r="NDW5" s="152"/>
      <c r="NDX5" s="152"/>
      <c r="NDY5" s="152"/>
      <c r="NDZ5" s="152"/>
      <c r="NEA5" s="152"/>
      <c r="NEB5" s="152"/>
      <c r="NEC5" s="152"/>
      <c r="NED5" s="152"/>
      <c r="NEE5" s="152"/>
      <c r="NEF5" s="152"/>
      <c r="NEG5" s="152"/>
      <c r="NEH5" s="152"/>
      <c r="NEI5" s="152"/>
      <c r="NEJ5" s="152"/>
      <c r="NEK5" s="152"/>
      <c r="NEL5" s="152"/>
      <c r="NEM5" s="152"/>
      <c r="NEN5" s="152"/>
      <c r="NEO5" s="152"/>
      <c r="NEP5" s="152"/>
      <c r="NEQ5" s="152"/>
      <c r="NER5" s="152"/>
      <c r="NES5" s="152"/>
      <c r="NET5" s="152"/>
      <c r="NEU5" s="152"/>
      <c r="NEV5" s="152"/>
      <c r="NEW5" s="152"/>
      <c r="NEX5" s="152"/>
      <c r="NEY5" s="152"/>
      <c r="NEZ5" s="152"/>
      <c r="NFA5" s="152"/>
      <c r="NFB5" s="152"/>
      <c r="NFC5" s="152"/>
      <c r="NFD5" s="152"/>
      <c r="NFE5" s="152"/>
      <c r="NFF5" s="152"/>
      <c r="NFG5" s="152"/>
      <c r="NFH5" s="152"/>
      <c r="NFI5" s="152"/>
      <c r="NFJ5" s="152"/>
      <c r="NFK5" s="152"/>
      <c r="NFL5" s="152"/>
      <c r="NFM5" s="152"/>
      <c r="NFN5" s="152"/>
      <c r="NFO5" s="152"/>
      <c r="NFP5" s="152"/>
      <c r="NFQ5" s="152"/>
      <c r="NFR5" s="152"/>
      <c r="NFS5" s="152"/>
      <c r="NFT5" s="152"/>
      <c r="NFU5" s="152"/>
      <c r="NFV5" s="152"/>
      <c r="NFW5" s="152"/>
      <c r="NFX5" s="152"/>
      <c r="NFY5" s="152"/>
      <c r="NFZ5" s="152"/>
      <c r="NGA5" s="152"/>
      <c r="NGB5" s="152"/>
      <c r="NGC5" s="152"/>
      <c r="NGD5" s="152"/>
      <c r="NGE5" s="152"/>
      <c r="NGF5" s="152"/>
      <c r="NGG5" s="152"/>
      <c r="NGH5" s="152"/>
      <c r="NGI5" s="152"/>
      <c r="NGJ5" s="152"/>
      <c r="NGK5" s="152"/>
      <c r="NGL5" s="152"/>
      <c r="NGM5" s="152"/>
      <c r="NGN5" s="152"/>
      <c r="NGO5" s="152"/>
      <c r="NGP5" s="152"/>
      <c r="NGQ5" s="152"/>
      <c r="NGR5" s="152"/>
      <c r="NGS5" s="152"/>
      <c r="NGT5" s="152"/>
      <c r="NGU5" s="152"/>
      <c r="NGV5" s="152"/>
      <c r="NGW5" s="152"/>
      <c r="NGX5" s="152"/>
      <c r="NGY5" s="152"/>
      <c r="NGZ5" s="152"/>
      <c r="NHA5" s="152"/>
      <c r="NHB5" s="152"/>
      <c r="NHC5" s="152"/>
      <c r="NHD5" s="152"/>
      <c r="NHE5" s="152"/>
      <c r="NHF5" s="152"/>
      <c r="NHG5" s="152"/>
      <c r="NHH5" s="152"/>
      <c r="NHI5" s="152"/>
      <c r="NHJ5" s="152"/>
      <c r="NHK5" s="152"/>
      <c r="NHL5" s="152"/>
      <c r="NHM5" s="152"/>
      <c r="NHN5" s="152"/>
      <c r="NHO5" s="152"/>
      <c r="NHP5" s="152"/>
      <c r="NHQ5" s="152"/>
      <c r="NHR5" s="152"/>
      <c r="NHS5" s="152"/>
      <c r="NHT5" s="152"/>
      <c r="NHU5" s="152"/>
      <c r="NHV5" s="152"/>
      <c r="NHW5" s="152"/>
      <c r="NHX5" s="152"/>
      <c r="NHY5" s="152"/>
      <c r="NHZ5" s="152"/>
      <c r="NIA5" s="152"/>
      <c r="NIB5" s="152"/>
      <c r="NIC5" s="152"/>
      <c r="NID5" s="152"/>
      <c r="NIE5" s="152"/>
      <c r="NIF5" s="152"/>
      <c r="NIG5" s="152"/>
      <c r="NIH5" s="152"/>
      <c r="NII5" s="152"/>
      <c r="NIJ5" s="152"/>
      <c r="NIK5" s="152"/>
      <c r="NIL5" s="152"/>
      <c r="NIM5" s="152"/>
      <c r="NIN5" s="152"/>
      <c r="NIO5" s="152"/>
      <c r="NIP5" s="152"/>
      <c r="NIQ5" s="152"/>
      <c r="NIR5" s="152"/>
      <c r="NIS5" s="152"/>
      <c r="NIT5" s="152"/>
      <c r="NIU5" s="152"/>
      <c r="NIV5" s="152"/>
      <c r="NIW5" s="152"/>
      <c r="NIX5" s="152"/>
      <c r="NIY5" s="152"/>
      <c r="NIZ5" s="152"/>
      <c r="NJA5" s="152"/>
      <c r="NJB5" s="152"/>
      <c r="NJC5" s="152"/>
      <c r="NJD5" s="152"/>
      <c r="NJE5" s="152"/>
      <c r="NJF5" s="152"/>
      <c r="NJG5" s="152"/>
      <c r="NJH5" s="152"/>
      <c r="NJI5" s="152"/>
      <c r="NJJ5" s="152"/>
      <c r="NJK5" s="152"/>
      <c r="NJL5" s="152"/>
      <c r="NJM5" s="152"/>
      <c r="NJN5" s="152"/>
      <c r="NJO5" s="152"/>
      <c r="NJP5" s="152"/>
      <c r="NJQ5" s="152"/>
      <c r="NJR5" s="152"/>
      <c r="NJS5" s="152"/>
      <c r="NJT5" s="152"/>
      <c r="NJU5" s="152"/>
      <c r="NJV5" s="152"/>
      <c r="NJW5" s="152"/>
      <c r="NJX5" s="152"/>
      <c r="NJY5" s="152"/>
      <c r="NJZ5" s="152"/>
      <c r="NKA5" s="152"/>
      <c r="NKB5" s="152"/>
      <c r="NKC5" s="152"/>
      <c r="NKD5" s="152"/>
      <c r="NKE5" s="152"/>
      <c r="NKF5" s="152"/>
      <c r="NKG5" s="152"/>
      <c r="NKH5" s="152"/>
      <c r="NKI5" s="152"/>
      <c r="NKJ5" s="152"/>
      <c r="NKK5" s="152"/>
      <c r="NKL5" s="152"/>
      <c r="NKM5" s="152"/>
      <c r="NKN5" s="152"/>
      <c r="NKO5" s="152"/>
      <c r="NKP5" s="152"/>
      <c r="NKQ5" s="152"/>
      <c r="NKR5" s="152"/>
      <c r="NKS5" s="152"/>
      <c r="NKT5" s="152"/>
      <c r="NKU5" s="152"/>
      <c r="NKV5" s="152"/>
      <c r="NKW5" s="152"/>
      <c r="NKX5" s="152"/>
      <c r="NKY5" s="152"/>
      <c r="NKZ5" s="152"/>
      <c r="NLA5" s="152"/>
      <c r="NLB5" s="152"/>
      <c r="NLC5" s="152"/>
      <c r="NLD5" s="152"/>
      <c r="NLE5" s="152"/>
      <c r="NLF5" s="152"/>
      <c r="NLG5" s="152"/>
      <c r="NLH5" s="152"/>
      <c r="NLI5" s="152"/>
      <c r="NLJ5" s="152"/>
      <c r="NLK5" s="152"/>
      <c r="NLL5" s="152"/>
      <c r="NLM5" s="152"/>
      <c r="NLN5" s="152"/>
      <c r="NLO5" s="152"/>
      <c r="NLP5" s="152"/>
      <c r="NLQ5" s="152"/>
      <c r="NLR5" s="152"/>
      <c r="NLS5" s="152"/>
      <c r="NLT5" s="152"/>
      <c r="NLU5" s="152"/>
      <c r="NLV5" s="152"/>
      <c r="NLW5" s="152"/>
      <c r="NLX5" s="152"/>
      <c r="NLY5" s="152"/>
      <c r="NLZ5" s="152"/>
      <c r="NMA5" s="152"/>
      <c r="NMB5" s="152"/>
      <c r="NMC5" s="152"/>
      <c r="NMD5" s="152"/>
      <c r="NME5" s="152"/>
      <c r="NMF5" s="152"/>
      <c r="NMG5" s="152"/>
      <c r="NMH5" s="152"/>
      <c r="NMI5" s="152"/>
      <c r="NMJ5" s="152"/>
      <c r="NMK5" s="152"/>
      <c r="NML5" s="152"/>
      <c r="NMM5" s="152"/>
      <c r="NMN5" s="152"/>
      <c r="NMO5" s="152"/>
      <c r="NMP5" s="152"/>
      <c r="NMQ5" s="152"/>
      <c r="NMR5" s="152"/>
      <c r="NMS5" s="152"/>
      <c r="NMT5" s="152"/>
      <c r="NMU5" s="152"/>
      <c r="NMV5" s="152"/>
      <c r="NMW5" s="152"/>
      <c r="NMX5" s="152"/>
      <c r="NMY5" s="152"/>
      <c r="NMZ5" s="152"/>
      <c r="NNA5" s="152"/>
      <c r="NNB5" s="152"/>
      <c r="NNC5" s="152"/>
      <c r="NND5" s="152"/>
      <c r="NNE5" s="152"/>
      <c r="NNF5" s="152"/>
      <c r="NNG5" s="152"/>
      <c r="NNH5" s="152"/>
      <c r="NNI5" s="152"/>
      <c r="NNJ5" s="152"/>
      <c r="NNK5" s="152"/>
      <c r="NNL5" s="152"/>
      <c r="NNM5" s="152"/>
      <c r="NNN5" s="152"/>
      <c r="NNO5" s="152"/>
      <c r="NNP5" s="152"/>
      <c r="NNQ5" s="152"/>
      <c r="NNR5" s="152"/>
      <c r="NNS5" s="152"/>
      <c r="NNT5" s="152"/>
      <c r="NNU5" s="152"/>
      <c r="NNV5" s="152"/>
      <c r="NNW5" s="152"/>
      <c r="NNX5" s="152"/>
      <c r="NNY5" s="152"/>
      <c r="NNZ5" s="152"/>
      <c r="NOA5" s="152"/>
      <c r="NOB5" s="152"/>
      <c r="NOC5" s="152"/>
      <c r="NOD5" s="152"/>
      <c r="NOE5" s="152"/>
      <c r="NOF5" s="152"/>
      <c r="NOG5" s="152"/>
      <c r="NOH5" s="152"/>
      <c r="NOI5" s="152"/>
      <c r="NOJ5" s="152"/>
      <c r="NOK5" s="152"/>
      <c r="NOL5" s="152"/>
      <c r="NOM5" s="152"/>
      <c r="NON5" s="152"/>
      <c r="NOO5" s="152"/>
      <c r="NOP5" s="152"/>
      <c r="NOQ5" s="152"/>
      <c r="NOR5" s="152"/>
      <c r="NOS5" s="152"/>
      <c r="NOT5" s="152"/>
      <c r="NOU5" s="152"/>
      <c r="NOV5" s="152"/>
      <c r="NOW5" s="152"/>
      <c r="NOX5" s="152"/>
      <c r="NOY5" s="152"/>
      <c r="NOZ5" s="152"/>
      <c r="NPA5" s="152"/>
      <c r="NPB5" s="152"/>
      <c r="NPC5" s="152"/>
      <c r="NPD5" s="152"/>
      <c r="NPE5" s="152"/>
      <c r="NPF5" s="152"/>
      <c r="NPG5" s="152"/>
      <c r="NPH5" s="152"/>
      <c r="NPI5" s="152"/>
      <c r="NPJ5" s="152"/>
      <c r="NPK5" s="152"/>
      <c r="NPL5" s="152"/>
      <c r="NPM5" s="152"/>
      <c r="NPN5" s="152"/>
      <c r="NPO5" s="152"/>
      <c r="NPP5" s="152"/>
      <c r="NPQ5" s="152"/>
      <c r="NPR5" s="152"/>
      <c r="NPS5" s="152"/>
      <c r="NPT5" s="152"/>
      <c r="NPU5" s="152"/>
      <c r="NPV5" s="152"/>
      <c r="NPW5" s="152"/>
      <c r="NPX5" s="152"/>
      <c r="NPY5" s="152"/>
      <c r="NPZ5" s="152"/>
      <c r="NQA5" s="152"/>
      <c r="NQB5" s="152"/>
      <c r="NQC5" s="152"/>
      <c r="NQD5" s="152"/>
      <c r="NQE5" s="152"/>
      <c r="NQF5" s="152"/>
      <c r="NQG5" s="152"/>
      <c r="NQH5" s="152"/>
      <c r="NQI5" s="152"/>
      <c r="NQJ5" s="152"/>
      <c r="NQK5" s="152"/>
      <c r="NQL5" s="152"/>
      <c r="NQM5" s="152"/>
      <c r="NQN5" s="152"/>
      <c r="NQO5" s="152"/>
      <c r="NQP5" s="152"/>
      <c r="NQQ5" s="152"/>
      <c r="NQR5" s="152"/>
      <c r="NQS5" s="152"/>
      <c r="NQT5" s="152"/>
      <c r="NQU5" s="152"/>
      <c r="NQV5" s="152"/>
      <c r="NQW5" s="152"/>
      <c r="NQX5" s="152"/>
      <c r="NQY5" s="152"/>
      <c r="NQZ5" s="152"/>
      <c r="NRA5" s="152"/>
      <c r="NRB5" s="152"/>
      <c r="NRC5" s="152"/>
      <c r="NRD5" s="152"/>
      <c r="NRE5" s="152"/>
      <c r="NRF5" s="152"/>
      <c r="NRG5" s="152"/>
      <c r="NRH5" s="152"/>
      <c r="NRI5" s="152"/>
      <c r="NRJ5" s="152"/>
      <c r="NRK5" s="152"/>
      <c r="NRL5" s="152"/>
      <c r="NRM5" s="152"/>
      <c r="NRN5" s="152"/>
      <c r="NRO5" s="152"/>
      <c r="NRP5" s="152"/>
      <c r="NRQ5" s="152"/>
      <c r="NRR5" s="152"/>
      <c r="NRS5" s="152"/>
      <c r="NRT5" s="152"/>
      <c r="NRU5" s="152"/>
      <c r="NRV5" s="152"/>
      <c r="NRW5" s="152"/>
      <c r="NRX5" s="152"/>
      <c r="NRY5" s="152"/>
      <c r="NRZ5" s="152"/>
      <c r="NSA5" s="152"/>
      <c r="NSB5" s="152"/>
      <c r="NSC5" s="152"/>
      <c r="NSD5" s="152"/>
      <c r="NSE5" s="152"/>
      <c r="NSF5" s="152"/>
      <c r="NSG5" s="152"/>
      <c r="NSH5" s="152"/>
      <c r="NSI5" s="152"/>
      <c r="NSJ5" s="152"/>
      <c r="NSK5" s="152"/>
      <c r="NSL5" s="152"/>
      <c r="NSM5" s="152"/>
      <c r="NSN5" s="152"/>
      <c r="NSO5" s="152"/>
      <c r="NSP5" s="152"/>
      <c r="NSQ5" s="152"/>
      <c r="NSR5" s="152"/>
      <c r="NSS5" s="152"/>
      <c r="NST5" s="152"/>
      <c r="NSU5" s="152"/>
      <c r="NSV5" s="152"/>
      <c r="NSW5" s="152"/>
      <c r="NSX5" s="152"/>
      <c r="NSY5" s="152"/>
      <c r="NSZ5" s="152"/>
      <c r="NTA5" s="152"/>
      <c r="NTB5" s="152"/>
      <c r="NTC5" s="152"/>
      <c r="NTD5" s="152"/>
      <c r="NTE5" s="152"/>
      <c r="NTF5" s="152"/>
      <c r="NTG5" s="152"/>
      <c r="NTH5" s="152"/>
      <c r="NTI5" s="152"/>
      <c r="NTJ5" s="152"/>
      <c r="NTK5" s="152"/>
      <c r="NTL5" s="152"/>
      <c r="NTM5" s="152"/>
      <c r="NTN5" s="152"/>
      <c r="NTO5" s="152"/>
      <c r="NTP5" s="152"/>
      <c r="NTQ5" s="152"/>
      <c r="NTR5" s="152"/>
      <c r="NTS5" s="152"/>
      <c r="NTT5" s="152"/>
      <c r="NTU5" s="152"/>
      <c r="NTV5" s="152"/>
      <c r="NTW5" s="152"/>
      <c r="NTX5" s="152"/>
      <c r="NTY5" s="152"/>
      <c r="NTZ5" s="152"/>
      <c r="NUA5" s="152"/>
      <c r="NUB5" s="152"/>
      <c r="NUC5" s="152"/>
      <c r="NUD5" s="152"/>
      <c r="NUE5" s="152"/>
      <c r="NUF5" s="152"/>
      <c r="NUG5" s="152"/>
      <c r="NUH5" s="152"/>
      <c r="NUI5" s="152"/>
      <c r="NUJ5" s="152"/>
      <c r="NUK5" s="152"/>
      <c r="NUL5" s="152"/>
      <c r="NUM5" s="152"/>
      <c r="NUN5" s="152"/>
      <c r="NUO5" s="152"/>
      <c r="NUP5" s="152"/>
      <c r="NUQ5" s="152"/>
      <c r="NUR5" s="152"/>
      <c r="NUS5" s="152"/>
      <c r="NUT5" s="152"/>
      <c r="NUU5" s="152"/>
      <c r="NUV5" s="152"/>
      <c r="NUW5" s="152"/>
      <c r="NUX5" s="152"/>
      <c r="NUY5" s="152"/>
      <c r="NUZ5" s="152"/>
      <c r="NVA5" s="152"/>
      <c r="NVB5" s="152"/>
      <c r="NVC5" s="152"/>
      <c r="NVD5" s="152"/>
      <c r="NVE5" s="152"/>
      <c r="NVF5" s="152"/>
      <c r="NVG5" s="152"/>
      <c r="NVH5" s="152"/>
      <c r="NVI5" s="152"/>
      <c r="NVJ5" s="152"/>
      <c r="NVK5" s="152"/>
      <c r="NVL5" s="152"/>
      <c r="NVM5" s="152"/>
      <c r="NVN5" s="152"/>
      <c r="NVO5" s="152"/>
      <c r="NVP5" s="152"/>
      <c r="NVQ5" s="152"/>
      <c r="NVR5" s="152"/>
      <c r="NVS5" s="152"/>
      <c r="NVT5" s="152"/>
      <c r="NVU5" s="152"/>
      <c r="NVV5" s="152"/>
      <c r="NVW5" s="152"/>
      <c r="NVX5" s="152"/>
      <c r="NVY5" s="152"/>
      <c r="NVZ5" s="152"/>
      <c r="NWA5" s="152"/>
      <c r="NWB5" s="152"/>
      <c r="NWC5" s="152"/>
      <c r="NWD5" s="152"/>
      <c r="NWE5" s="152"/>
      <c r="NWF5" s="152"/>
      <c r="NWG5" s="152"/>
      <c r="NWH5" s="152"/>
      <c r="NWI5" s="152"/>
      <c r="NWJ5" s="152"/>
      <c r="NWK5" s="152"/>
      <c r="NWL5" s="152"/>
      <c r="NWM5" s="152"/>
      <c r="NWN5" s="152"/>
      <c r="NWO5" s="152"/>
      <c r="NWP5" s="152"/>
      <c r="NWQ5" s="152"/>
      <c r="NWR5" s="152"/>
      <c r="NWS5" s="152"/>
      <c r="NWT5" s="152"/>
      <c r="NWU5" s="152"/>
      <c r="NWV5" s="152"/>
      <c r="NWW5" s="152"/>
      <c r="NWX5" s="152"/>
      <c r="NWY5" s="152"/>
      <c r="NWZ5" s="152"/>
      <c r="NXA5" s="152"/>
      <c r="NXB5" s="152"/>
      <c r="NXC5" s="152"/>
      <c r="NXD5" s="152"/>
      <c r="NXE5" s="152"/>
      <c r="NXF5" s="152"/>
      <c r="NXG5" s="152"/>
      <c r="NXH5" s="152"/>
      <c r="NXI5" s="152"/>
      <c r="NXJ5" s="152"/>
      <c r="NXK5" s="152"/>
      <c r="NXL5" s="152"/>
      <c r="NXM5" s="152"/>
      <c r="NXN5" s="152"/>
      <c r="NXO5" s="152"/>
      <c r="NXP5" s="152"/>
      <c r="NXQ5" s="152"/>
      <c r="NXR5" s="152"/>
      <c r="NXS5" s="152"/>
      <c r="NXT5" s="152"/>
      <c r="NXU5" s="152"/>
      <c r="NXV5" s="152"/>
      <c r="NXW5" s="152"/>
      <c r="NXX5" s="152"/>
      <c r="NXY5" s="152"/>
      <c r="NXZ5" s="152"/>
      <c r="NYA5" s="152"/>
      <c r="NYB5" s="152"/>
      <c r="NYC5" s="152"/>
      <c r="NYD5" s="152"/>
      <c r="NYE5" s="152"/>
      <c r="NYF5" s="152"/>
      <c r="NYG5" s="152"/>
      <c r="NYH5" s="152"/>
      <c r="NYI5" s="152"/>
      <c r="NYJ5" s="152"/>
      <c r="NYK5" s="152"/>
      <c r="NYL5" s="152"/>
      <c r="NYM5" s="152"/>
      <c r="NYN5" s="152"/>
      <c r="NYO5" s="152"/>
      <c r="NYP5" s="152"/>
      <c r="NYQ5" s="152"/>
      <c r="NYR5" s="152"/>
      <c r="NYS5" s="152"/>
      <c r="NYT5" s="152"/>
      <c r="NYU5" s="152"/>
      <c r="NYV5" s="152"/>
      <c r="NYW5" s="152"/>
      <c r="NYX5" s="152"/>
      <c r="NYY5" s="152"/>
      <c r="NYZ5" s="152"/>
      <c r="NZA5" s="152"/>
      <c r="NZB5" s="152"/>
      <c r="NZC5" s="152"/>
      <c r="NZD5" s="152"/>
      <c r="NZE5" s="152"/>
      <c r="NZF5" s="152"/>
      <c r="NZG5" s="152"/>
      <c r="NZH5" s="152"/>
      <c r="NZI5" s="152"/>
      <c r="NZJ5" s="152"/>
      <c r="NZK5" s="152"/>
      <c r="NZL5" s="152"/>
      <c r="NZM5" s="152"/>
      <c r="NZN5" s="152"/>
      <c r="NZO5" s="152"/>
      <c r="NZP5" s="152"/>
      <c r="NZQ5" s="152"/>
      <c r="NZR5" s="152"/>
      <c r="NZS5" s="152"/>
      <c r="NZT5" s="152"/>
      <c r="NZU5" s="152"/>
      <c r="NZV5" s="152"/>
      <c r="NZW5" s="152"/>
      <c r="NZX5" s="152"/>
      <c r="NZY5" s="152"/>
      <c r="NZZ5" s="152"/>
      <c r="OAA5" s="152"/>
      <c r="OAB5" s="152"/>
      <c r="OAC5" s="152"/>
      <c r="OAD5" s="152"/>
      <c r="OAE5" s="152"/>
      <c r="OAF5" s="152"/>
      <c r="OAG5" s="152"/>
      <c r="OAH5" s="152"/>
      <c r="OAI5" s="152"/>
      <c r="OAJ5" s="152"/>
      <c r="OAK5" s="152"/>
      <c r="OAL5" s="152"/>
      <c r="OAM5" s="152"/>
      <c r="OAN5" s="152"/>
      <c r="OAO5" s="152"/>
      <c r="OAP5" s="152"/>
      <c r="OAQ5" s="152"/>
      <c r="OAR5" s="152"/>
      <c r="OAS5" s="152"/>
      <c r="OAT5" s="152"/>
      <c r="OAU5" s="152"/>
      <c r="OAV5" s="152"/>
      <c r="OAW5" s="152"/>
      <c r="OAX5" s="152"/>
      <c r="OAY5" s="152"/>
      <c r="OAZ5" s="152"/>
      <c r="OBA5" s="152"/>
      <c r="OBB5" s="152"/>
      <c r="OBC5" s="152"/>
      <c r="OBD5" s="152"/>
      <c r="OBE5" s="152"/>
      <c r="OBF5" s="152"/>
      <c r="OBG5" s="152"/>
      <c r="OBH5" s="152"/>
      <c r="OBI5" s="152"/>
      <c r="OBJ5" s="152"/>
      <c r="OBK5" s="152"/>
      <c r="OBL5" s="152"/>
      <c r="OBM5" s="152"/>
      <c r="OBN5" s="152"/>
      <c r="OBO5" s="152"/>
      <c r="OBP5" s="152"/>
      <c r="OBQ5" s="152"/>
      <c r="OBR5" s="152"/>
      <c r="OBS5" s="152"/>
      <c r="OBT5" s="152"/>
      <c r="OBU5" s="152"/>
      <c r="OBV5" s="152"/>
      <c r="OBW5" s="152"/>
      <c r="OBX5" s="152"/>
      <c r="OBY5" s="152"/>
      <c r="OBZ5" s="152"/>
      <c r="OCA5" s="152"/>
      <c r="OCB5" s="152"/>
      <c r="OCC5" s="152"/>
      <c r="OCD5" s="152"/>
      <c r="OCE5" s="152"/>
      <c r="OCF5" s="152"/>
      <c r="OCG5" s="152"/>
      <c r="OCH5" s="152"/>
      <c r="OCI5" s="152"/>
      <c r="OCJ5" s="152"/>
      <c r="OCK5" s="152"/>
      <c r="OCL5" s="152"/>
      <c r="OCM5" s="152"/>
      <c r="OCN5" s="152"/>
      <c r="OCO5" s="152"/>
      <c r="OCP5" s="152"/>
      <c r="OCQ5" s="152"/>
      <c r="OCR5" s="152"/>
      <c r="OCS5" s="152"/>
      <c r="OCT5" s="152"/>
      <c r="OCU5" s="152"/>
      <c r="OCV5" s="152"/>
      <c r="OCW5" s="152"/>
      <c r="OCX5" s="152"/>
      <c r="OCY5" s="152"/>
      <c r="OCZ5" s="152"/>
      <c r="ODA5" s="152"/>
      <c r="ODB5" s="152"/>
      <c r="ODC5" s="152"/>
      <c r="ODD5" s="152"/>
      <c r="ODE5" s="152"/>
      <c r="ODF5" s="152"/>
      <c r="ODG5" s="152"/>
      <c r="ODH5" s="152"/>
      <c r="ODI5" s="152"/>
      <c r="ODJ5" s="152"/>
      <c r="ODK5" s="152"/>
      <c r="ODL5" s="152"/>
      <c r="ODM5" s="152"/>
      <c r="ODN5" s="152"/>
      <c r="ODO5" s="152"/>
      <c r="ODP5" s="152"/>
      <c r="ODQ5" s="152"/>
      <c r="ODR5" s="152"/>
      <c r="ODS5" s="152"/>
      <c r="ODT5" s="152"/>
      <c r="ODU5" s="152"/>
      <c r="ODV5" s="152"/>
      <c r="ODW5" s="152"/>
      <c r="ODX5" s="152"/>
      <c r="ODY5" s="152"/>
      <c r="ODZ5" s="152"/>
      <c r="OEA5" s="152"/>
      <c r="OEB5" s="152"/>
      <c r="OEC5" s="152"/>
      <c r="OED5" s="152"/>
      <c r="OEE5" s="152"/>
      <c r="OEF5" s="152"/>
      <c r="OEG5" s="152"/>
      <c r="OEH5" s="152"/>
      <c r="OEI5" s="152"/>
      <c r="OEJ5" s="152"/>
      <c r="OEK5" s="152"/>
      <c r="OEL5" s="152"/>
      <c r="OEM5" s="152"/>
      <c r="OEN5" s="152"/>
      <c r="OEO5" s="152"/>
      <c r="OEP5" s="152"/>
      <c r="OEQ5" s="152"/>
      <c r="OER5" s="152"/>
      <c r="OES5" s="152"/>
      <c r="OET5" s="152"/>
      <c r="OEU5" s="152"/>
      <c r="OEV5" s="152"/>
      <c r="OEW5" s="152"/>
      <c r="OEX5" s="152"/>
      <c r="OEY5" s="152"/>
      <c r="OEZ5" s="152"/>
      <c r="OFA5" s="152"/>
      <c r="OFB5" s="152"/>
      <c r="OFC5" s="152"/>
      <c r="OFD5" s="152"/>
      <c r="OFE5" s="152"/>
      <c r="OFF5" s="152"/>
      <c r="OFG5" s="152"/>
      <c r="OFH5" s="152"/>
      <c r="OFI5" s="152"/>
      <c r="OFJ5" s="152"/>
      <c r="OFK5" s="152"/>
      <c r="OFL5" s="152"/>
      <c r="OFM5" s="152"/>
      <c r="OFN5" s="152"/>
      <c r="OFO5" s="152"/>
      <c r="OFP5" s="152"/>
      <c r="OFQ5" s="152"/>
      <c r="OFR5" s="152"/>
      <c r="OFS5" s="152"/>
      <c r="OFT5" s="152"/>
      <c r="OFU5" s="152"/>
      <c r="OFV5" s="152"/>
      <c r="OFW5" s="152"/>
      <c r="OFX5" s="152"/>
      <c r="OFY5" s="152"/>
      <c r="OFZ5" s="152"/>
      <c r="OGA5" s="152"/>
      <c r="OGB5" s="152"/>
      <c r="OGC5" s="152"/>
      <c r="OGD5" s="152"/>
      <c r="OGE5" s="152"/>
      <c r="OGF5" s="152"/>
      <c r="OGG5" s="152"/>
      <c r="OGH5" s="152"/>
      <c r="OGI5" s="152"/>
      <c r="OGJ5" s="152"/>
      <c r="OGK5" s="152"/>
      <c r="OGL5" s="152"/>
      <c r="OGM5" s="152"/>
      <c r="OGN5" s="152"/>
      <c r="OGO5" s="152"/>
      <c r="OGP5" s="152"/>
      <c r="OGQ5" s="152"/>
      <c r="OGR5" s="152"/>
      <c r="OGS5" s="152"/>
      <c r="OGT5" s="152"/>
      <c r="OGU5" s="152"/>
      <c r="OGV5" s="152"/>
      <c r="OGW5" s="152"/>
      <c r="OGX5" s="152"/>
      <c r="OGY5" s="152"/>
      <c r="OGZ5" s="152"/>
      <c r="OHA5" s="152"/>
      <c r="OHB5" s="152"/>
      <c r="OHC5" s="152"/>
      <c r="OHD5" s="152"/>
      <c r="OHE5" s="152"/>
      <c r="OHF5" s="152"/>
      <c r="OHG5" s="152"/>
      <c r="OHH5" s="152"/>
      <c r="OHI5" s="152"/>
      <c r="OHJ5" s="152"/>
      <c r="OHK5" s="152"/>
      <c r="OHL5" s="152"/>
      <c r="OHM5" s="152"/>
      <c r="OHN5" s="152"/>
      <c r="OHO5" s="152"/>
      <c r="OHP5" s="152"/>
      <c r="OHQ5" s="152"/>
      <c r="OHR5" s="152"/>
      <c r="OHS5" s="152"/>
      <c r="OHT5" s="152"/>
      <c r="OHU5" s="152"/>
      <c r="OHV5" s="152"/>
      <c r="OHW5" s="152"/>
      <c r="OHX5" s="152"/>
      <c r="OHY5" s="152"/>
      <c r="OHZ5" s="152"/>
      <c r="OIA5" s="152"/>
      <c r="OIB5" s="152"/>
      <c r="OIC5" s="152"/>
      <c r="OID5" s="152"/>
      <c r="OIE5" s="152"/>
      <c r="OIF5" s="152"/>
      <c r="OIG5" s="152"/>
      <c r="OIH5" s="152"/>
      <c r="OII5" s="152"/>
      <c r="OIJ5" s="152"/>
      <c r="OIK5" s="152"/>
      <c r="OIL5" s="152"/>
      <c r="OIM5" s="152"/>
      <c r="OIN5" s="152"/>
      <c r="OIO5" s="152"/>
      <c r="OIP5" s="152"/>
      <c r="OIQ5" s="152"/>
      <c r="OIR5" s="152"/>
      <c r="OIS5" s="152"/>
      <c r="OIT5" s="152"/>
      <c r="OIU5" s="152"/>
      <c r="OIV5" s="152"/>
      <c r="OIW5" s="152"/>
      <c r="OIX5" s="152"/>
      <c r="OIY5" s="152"/>
      <c r="OIZ5" s="152"/>
      <c r="OJA5" s="152"/>
      <c r="OJB5" s="152"/>
      <c r="OJC5" s="152"/>
      <c r="OJD5" s="152"/>
      <c r="OJE5" s="152"/>
      <c r="OJF5" s="152"/>
      <c r="OJG5" s="152"/>
      <c r="OJH5" s="152"/>
      <c r="OJI5" s="152"/>
      <c r="OJJ5" s="152"/>
      <c r="OJK5" s="152"/>
      <c r="OJL5" s="152"/>
      <c r="OJM5" s="152"/>
      <c r="OJN5" s="152"/>
      <c r="OJO5" s="152"/>
      <c r="OJP5" s="152"/>
      <c r="OJQ5" s="152"/>
      <c r="OJR5" s="152"/>
      <c r="OJS5" s="152"/>
      <c r="OJT5" s="152"/>
      <c r="OJU5" s="152"/>
      <c r="OJV5" s="152"/>
      <c r="OJW5" s="152"/>
      <c r="OJX5" s="152"/>
      <c r="OJY5" s="152"/>
      <c r="OJZ5" s="152"/>
      <c r="OKA5" s="152"/>
      <c r="OKB5" s="152"/>
      <c r="OKC5" s="152"/>
      <c r="OKD5" s="152"/>
      <c r="OKE5" s="152"/>
      <c r="OKF5" s="152"/>
      <c r="OKG5" s="152"/>
      <c r="OKH5" s="152"/>
      <c r="OKI5" s="152"/>
      <c r="OKJ5" s="152"/>
      <c r="OKK5" s="152"/>
      <c r="OKL5" s="152"/>
      <c r="OKM5" s="152"/>
      <c r="OKN5" s="152"/>
      <c r="OKO5" s="152"/>
      <c r="OKP5" s="152"/>
      <c r="OKQ5" s="152"/>
      <c r="OKR5" s="152"/>
      <c r="OKS5" s="152"/>
      <c r="OKT5" s="152"/>
      <c r="OKU5" s="152"/>
      <c r="OKV5" s="152"/>
      <c r="OKW5" s="152"/>
      <c r="OKX5" s="152"/>
      <c r="OKY5" s="152"/>
      <c r="OKZ5" s="152"/>
      <c r="OLA5" s="152"/>
      <c r="OLB5" s="152"/>
      <c r="OLC5" s="152"/>
      <c r="OLD5" s="152"/>
      <c r="OLE5" s="152"/>
      <c r="OLF5" s="152"/>
      <c r="OLG5" s="152"/>
      <c r="OLH5" s="152"/>
      <c r="OLI5" s="152"/>
      <c r="OLJ5" s="152"/>
      <c r="OLK5" s="152"/>
      <c r="OLL5" s="152"/>
      <c r="OLM5" s="152"/>
      <c r="OLN5" s="152"/>
      <c r="OLO5" s="152"/>
      <c r="OLP5" s="152"/>
      <c r="OLQ5" s="152"/>
      <c r="OLR5" s="152"/>
      <c r="OLS5" s="152"/>
      <c r="OLT5" s="152"/>
      <c r="OLU5" s="152"/>
      <c r="OLV5" s="152"/>
      <c r="OLW5" s="152"/>
      <c r="OLX5" s="152"/>
      <c r="OLY5" s="152"/>
      <c r="OLZ5" s="152"/>
      <c r="OMA5" s="152"/>
      <c r="OMB5" s="152"/>
      <c r="OMC5" s="152"/>
      <c r="OMD5" s="152"/>
      <c r="OME5" s="152"/>
      <c r="OMF5" s="152"/>
      <c r="OMG5" s="152"/>
      <c r="OMH5" s="152"/>
      <c r="OMI5" s="152"/>
      <c r="OMJ5" s="152"/>
      <c r="OMK5" s="152"/>
      <c r="OML5" s="152"/>
      <c r="OMM5" s="152"/>
      <c r="OMN5" s="152"/>
      <c r="OMO5" s="152"/>
      <c r="OMP5" s="152"/>
      <c r="OMQ5" s="152"/>
      <c r="OMR5" s="152"/>
      <c r="OMS5" s="152"/>
      <c r="OMT5" s="152"/>
      <c r="OMU5" s="152"/>
      <c r="OMV5" s="152"/>
      <c r="OMW5" s="152"/>
      <c r="OMX5" s="152"/>
      <c r="OMY5" s="152"/>
      <c r="OMZ5" s="152"/>
      <c r="ONA5" s="152"/>
      <c r="ONB5" s="152"/>
      <c r="ONC5" s="152"/>
      <c r="OND5" s="152"/>
      <c r="ONE5" s="152"/>
      <c r="ONF5" s="152"/>
      <c r="ONG5" s="152"/>
      <c r="ONH5" s="152"/>
      <c r="ONI5" s="152"/>
      <c r="ONJ5" s="152"/>
      <c r="ONK5" s="152"/>
      <c r="ONL5" s="152"/>
      <c r="ONM5" s="152"/>
      <c r="ONN5" s="152"/>
      <c r="ONO5" s="152"/>
      <c r="ONP5" s="152"/>
      <c r="ONQ5" s="152"/>
      <c r="ONR5" s="152"/>
      <c r="ONS5" s="152"/>
      <c r="ONT5" s="152"/>
      <c r="ONU5" s="152"/>
      <c r="ONV5" s="152"/>
      <c r="ONW5" s="152"/>
      <c r="ONX5" s="152"/>
      <c r="ONY5" s="152"/>
      <c r="ONZ5" s="152"/>
      <c r="OOA5" s="152"/>
      <c r="OOB5" s="152"/>
      <c r="OOC5" s="152"/>
      <c r="OOD5" s="152"/>
      <c r="OOE5" s="152"/>
      <c r="OOF5" s="152"/>
      <c r="OOG5" s="152"/>
      <c r="OOH5" s="152"/>
      <c r="OOI5" s="152"/>
      <c r="OOJ5" s="152"/>
      <c r="OOK5" s="152"/>
      <c r="OOL5" s="152"/>
      <c r="OOM5" s="152"/>
      <c r="OON5" s="152"/>
      <c r="OOO5" s="152"/>
      <c r="OOP5" s="152"/>
      <c r="OOQ5" s="152"/>
      <c r="OOR5" s="152"/>
      <c r="OOS5" s="152"/>
      <c r="OOT5" s="152"/>
      <c r="OOU5" s="152"/>
      <c r="OOV5" s="152"/>
      <c r="OOW5" s="152"/>
      <c r="OOX5" s="152"/>
      <c r="OOY5" s="152"/>
      <c r="OOZ5" s="152"/>
      <c r="OPA5" s="152"/>
      <c r="OPB5" s="152"/>
      <c r="OPC5" s="152"/>
      <c r="OPD5" s="152"/>
      <c r="OPE5" s="152"/>
      <c r="OPF5" s="152"/>
      <c r="OPG5" s="152"/>
      <c r="OPH5" s="152"/>
      <c r="OPI5" s="152"/>
      <c r="OPJ5" s="152"/>
      <c r="OPK5" s="152"/>
      <c r="OPL5" s="152"/>
      <c r="OPM5" s="152"/>
      <c r="OPN5" s="152"/>
      <c r="OPO5" s="152"/>
      <c r="OPP5" s="152"/>
      <c r="OPQ5" s="152"/>
      <c r="OPR5" s="152"/>
      <c r="OPS5" s="152"/>
      <c r="OPT5" s="152"/>
      <c r="OPU5" s="152"/>
      <c r="OPV5" s="152"/>
      <c r="OPW5" s="152"/>
      <c r="OPX5" s="152"/>
      <c r="OPY5" s="152"/>
      <c r="OPZ5" s="152"/>
      <c r="OQA5" s="152"/>
      <c r="OQB5" s="152"/>
      <c r="OQC5" s="152"/>
      <c r="OQD5" s="152"/>
      <c r="OQE5" s="152"/>
      <c r="OQF5" s="152"/>
      <c r="OQG5" s="152"/>
      <c r="OQH5" s="152"/>
      <c r="OQI5" s="152"/>
      <c r="OQJ5" s="152"/>
      <c r="OQK5" s="152"/>
      <c r="OQL5" s="152"/>
      <c r="OQM5" s="152"/>
      <c r="OQN5" s="152"/>
      <c r="OQO5" s="152"/>
      <c r="OQP5" s="152"/>
      <c r="OQQ5" s="152"/>
      <c r="OQR5" s="152"/>
      <c r="OQS5" s="152"/>
      <c r="OQT5" s="152"/>
      <c r="OQU5" s="152"/>
      <c r="OQV5" s="152"/>
      <c r="OQW5" s="152"/>
      <c r="OQX5" s="152"/>
      <c r="OQY5" s="152"/>
      <c r="OQZ5" s="152"/>
      <c r="ORA5" s="152"/>
      <c r="ORB5" s="152"/>
      <c r="ORC5" s="152"/>
      <c r="ORD5" s="152"/>
      <c r="ORE5" s="152"/>
      <c r="ORF5" s="152"/>
      <c r="ORG5" s="152"/>
      <c r="ORH5" s="152"/>
      <c r="ORI5" s="152"/>
      <c r="ORJ5" s="152"/>
      <c r="ORK5" s="152"/>
      <c r="ORL5" s="152"/>
      <c r="ORM5" s="152"/>
      <c r="ORN5" s="152"/>
      <c r="ORO5" s="152"/>
      <c r="ORP5" s="152"/>
      <c r="ORQ5" s="152"/>
      <c r="ORR5" s="152"/>
      <c r="ORS5" s="152"/>
      <c r="ORT5" s="152"/>
      <c r="ORU5" s="152"/>
      <c r="ORV5" s="152"/>
      <c r="ORW5" s="152"/>
      <c r="ORX5" s="152"/>
      <c r="ORY5" s="152"/>
      <c r="ORZ5" s="152"/>
      <c r="OSA5" s="152"/>
      <c r="OSB5" s="152"/>
      <c r="OSC5" s="152"/>
      <c r="OSD5" s="152"/>
      <c r="OSE5" s="152"/>
      <c r="OSF5" s="152"/>
      <c r="OSG5" s="152"/>
      <c r="OSH5" s="152"/>
      <c r="OSI5" s="152"/>
      <c r="OSJ5" s="152"/>
      <c r="OSK5" s="152"/>
      <c r="OSL5" s="152"/>
      <c r="OSM5" s="152"/>
      <c r="OSN5" s="152"/>
      <c r="OSO5" s="152"/>
      <c r="OSP5" s="152"/>
      <c r="OSQ5" s="152"/>
      <c r="OSR5" s="152"/>
      <c r="OSS5" s="152"/>
      <c r="OST5" s="152"/>
      <c r="OSU5" s="152"/>
      <c r="OSV5" s="152"/>
      <c r="OSW5" s="152"/>
      <c r="OSX5" s="152"/>
      <c r="OSY5" s="152"/>
      <c r="OSZ5" s="152"/>
      <c r="OTA5" s="152"/>
      <c r="OTB5" s="152"/>
      <c r="OTC5" s="152"/>
      <c r="OTD5" s="152"/>
      <c r="OTE5" s="152"/>
      <c r="OTF5" s="152"/>
      <c r="OTG5" s="152"/>
      <c r="OTH5" s="152"/>
      <c r="OTI5" s="152"/>
      <c r="OTJ5" s="152"/>
      <c r="OTK5" s="152"/>
      <c r="OTL5" s="152"/>
      <c r="OTM5" s="152"/>
      <c r="OTN5" s="152"/>
      <c r="OTO5" s="152"/>
      <c r="OTP5" s="152"/>
      <c r="OTQ5" s="152"/>
      <c r="OTR5" s="152"/>
      <c r="OTS5" s="152"/>
      <c r="OTT5" s="152"/>
      <c r="OTU5" s="152"/>
      <c r="OTV5" s="152"/>
      <c r="OTW5" s="152"/>
      <c r="OTX5" s="152"/>
      <c r="OTY5" s="152"/>
      <c r="OTZ5" s="152"/>
      <c r="OUA5" s="152"/>
      <c r="OUB5" s="152"/>
      <c r="OUC5" s="152"/>
      <c r="OUD5" s="152"/>
      <c r="OUE5" s="152"/>
      <c r="OUF5" s="152"/>
      <c r="OUG5" s="152"/>
      <c r="OUH5" s="152"/>
      <c r="OUI5" s="152"/>
      <c r="OUJ5" s="152"/>
      <c r="OUK5" s="152"/>
      <c r="OUL5" s="152"/>
      <c r="OUM5" s="152"/>
      <c r="OUN5" s="152"/>
      <c r="OUO5" s="152"/>
      <c r="OUP5" s="152"/>
      <c r="OUQ5" s="152"/>
      <c r="OUR5" s="152"/>
      <c r="OUS5" s="152"/>
      <c r="OUT5" s="152"/>
      <c r="OUU5" s="152"/>
      <c r="OUV5" s="152"/>
      <c r="OUW5" s="152"/>
      <c r="OUX5" s="152"/>
      <c r="OUY5" s="152"/>
      <c r="OUZ5" s="152"/>
      <c r="OVA5" s="152"/>
      <c r="OVB5" s="152"/>
      <c r="OVC5" s="152"/>
      <c r="OVD5" s="152"/>
      <c r="OVE5" s="152"/>
      <c r="OVF5" s="152"/>
      <c r="OVG5" s="152"/>
      <c r="OVH5" s="152"/>
      <c r="OVI5" s="152"/>
      <c r="OVJ5" s="152"/>
      <c r="OVK5" s="152"/>
      <c r="OVL5" s="152"/>
      <c r="OVM5" s="152"/>
      <c r="OVN5" s="152"/>
      <c r="OVO5" s="152"/>
      <c r="OVP5" s="152"/>
      <c r="OVQ5" s="152"/>
      <c r="OVR5" s="152"/>
      <c r="OVS5" s="152"/>
      <c r="OVT5" s="152"/>
      <c r="OVU5" s="152"/>
      <c r="OVV5" s="152"/>
      <c r="OVW5" s="152"/>
      <c r="OVX5" s="152"/>
      <c r="OVY5" s="152"/>
      <c r="OVZ5" s="152"/>
      <c r="OWA5" s="152"/>
      <c r="OWB5" s="152"/>
      <c r="OWC5" s="152"/>
      <c r="OWD5" s="152"/>
      <c r="OWE5" s="152"/>
      <c r="OWF5" s="152"/>
      <c r="OWG5" s="152"/>
      <c r="OWH5" s="152"/>
      <c r="OWI5" s="152"/>
      <c r="OWJ5" s="152"/>
      <c r="OWK5" s="152"/>
      <c r="OWL5" s="152"/>
      <c r="OWM5" s="152"/>
      <c r="OWN5" s="152"/>
      <c r="OWO5" s="152"/>
      <c r="OWP5" s="152"/>
      <c r="OWQ5" s="152"/>
      <c r="OWR5" s="152"/>
      <c r="OWS5" s="152"/>
      <c r="OWT5" s="152"/>
      <c r="OWU5" s="152"/>
      <c r="OWV5" s="152"/>
      <c r="OWW5" s="152"/>
      <c r="OWX5" s="152"/>
      <c r="OWY5" s="152"/>
      <c r="OWZ5" s="152"/>
      <c r="OXA5" s="152"/>
      <c r="OXB5" s="152"/>
      <c r="OXC5" s="152"/>
      <c r="OXD5" s="152"/>
      <c r="OXE5" s="152"/>
      <c r="OXF5" s="152"/>
      <c r="OXG5" s="152"/>
      <c r="OXH5" s="152"/>
      <c r="OXI5" s="152"/>
      <c r="OXJ5" s="152"/>
      <c r="OXK5" s="152"/>
      <c r="OXL5" s="152"/>
      <c r="OXM5" s="152"/>
      <c r="OXN5" s="152"/>
      <c r="OXO5" s="152"/>
      <c r="OXP5" s="152"/>
      <c r="OXQ5" s="152"/>
      <c r="OXR5" s="152"/>
      <c r="OXS5" s="152"/>
      <c r="OXT5" s="152"/>
      <c r="OXU5" s="152"/>
      <c r="OXV5" s="152"/>
      <c r="OXW5" s="152"/>
      <c r="OXX5" s="152"/>
      <c r="OXY5" s="152"/>
      <c r="OXZ5" s="152"/>
      <c r="OYA5" s="152"/>
      <c r="OYB5" s="152"/>
      <c r="OYC5" s="152"/>
      <c r="OYD5" s="152"/>
      <c r="OYE5" s="152"/>
      <c r="OYF5" s="152"/>
      <c r="OYG5" s="152"/>
      <c r="OYH5" s="152"/>
      <c r="OYI5" s="152"/>
      <c r="OYJ5" s="152"/>
      <c r="OYK5" s="152"/>
      <c r="OYL5" s="152"/>
      <c r="OYM5" s="152"/>
      <c r="OYN5" s="152"/>
      <c r="OYO5" s="152"/>
      <c r="OYP5" s="152"/>
      <c r="OYQ5" s="152"/>
      <c r="OYR5" s="152"/>
      <c r="OYS5" s="152"/>
      <c r="OYT5" s="152"/>
      <c r="OYU5" s="152"/>
      <c r="OYV5" s="152"/>
      <c r="OYW5" s="152"/>
      <c r="OYX5" s="152"/>
      <c r="OYY5" s="152"/>
      <c r="OYZ5" s="152"/>
      <c r="OZA5" s="152"/>
      <c r="OZB5" s="152"/>
      <c r="OZC5" s="152"/>
      <c r="OZD5" s="152"/>
      <c r="OZE5" s="152"/>
      <c r="OZF5" s="152"/>
      <c r="OZG5" s="152"/>
      <c r="OZH5" s="152"/>
      <c r="OZI5" s="152"/>
      <c r="OZJ5" s="152"/>
      <c r="OZK5" s="152"/>
      <c r="OZL5" s="152"/>
      <c r="OZM5" s="152"/>
      <c r="OZN5" s="152"/>
      <c r="OZO5" s="152"/>
      <c r="OZP5" s="152"/>
      <c r="OZQ5" s="152"/>
      <c r="OZR5" s="152"/>
      <c r="OZS5" s="152"/>
      <c r="OZT5" s="152"/>
      <c r="OZU5" s="152"/>
      <c r="OZV5" s="152"/>
      <c r="OZW5" s="152"/>
      <c r="OZX5" s="152"/>
      <c r="OZY5" s="152"/>
      <c r="OZZ5" s="152"/>
      <c r="PAA5" s="152"/>
      <c r="PAB5" s="152"/>
      <c r="PAC5" s="152"/>
      <c r="PAD5" s="152"/>
      <c r="PAE5" s="152"/>
      <c r="PAF5" s="152"/>
      <c r="PAG5" s="152"/>
      <c r="PAH5" s="152"/>
      <c r="PAI5" s="152"/>
      <c r="PAJ5" s="152"/>
      <c r="PAK5" s="152"/>
      <c r="PAL5" s="152"/>
      <c r="PAM5" s="152"/>
      <c r="PAN5" s="152"/>
      <c r="PAO5" s="152"/>
      <c r="PAP5" s="152"/>
      <c r="PAQ5" s="152"/>
      <c r="PAR5" s="152"/>
      <c r="PAS5" s="152"/>
      <c r="PAT5" s="152"/>
      <c r="PAU5" s="152"/>
      <c r="PAV5" s="152"/>
      <c r="PAW5" s="152"/>
      <c r="PAX5" s="152"/>
      <c r="PAY5" s="152"/>
      <c r="PAZ5" s="152"/>
      <c r="PBA5" s="152"/>
      <c r="PBB5" s="152"/>
      <c r="PBC5" s="152"/>
      <c r="PBD5" s="152"/>
      <c r="PBE5" s="152"/>
      <c r="PBF5" s="152"/>
      <c r="PBG5" s="152"/>
      <c r="PBH5" s="152"/>
      <c r="PBI5" s="152"/>
      <c r="PBJ5" s="152"/>
      <c r="PBK5" s="152"/>
      <c r="PBL5" s="152"/>
      <c r="PBM5" s="152"/>
      <c r="PBN5" s="152"/>
      <c r="PBO5" s="152"/>
      <c r="PBP5" s="152"/>
      <c r="PBQ5" s="152"/>
      <c r="PBR5" s="152"/>
      <c r="PBS5" s="152"/>
      <c r="PBT5" s="152"/>
      <c r="PBU5" s="152"/>
      <c r="PBV5" s="152"/>
      <c r="PBW5" s="152"/>
      <c r="PBX5" s="152"/>
      <c r="PBY5" s="152"/>
      <c r="PBZ5" s="152"/>
      <c r="PCA5" s="152"/>
      <c r="PCB5" s="152"/>
      <c r="PCC5" s="152"/>
      <c r="PCD5" s="152"/>
      <c r="PCE5" s="152"/>
      <c r="PCF5" s="152"/>
      <c r="PCG5" s="152"/>
      <c r="PCH5" s="152"/>
      <c r="PCI5" s="152"/>
      <c r="PCJ5" s="152"/>
      <c r="PCK5" s="152"/>
      <c r="PCL5" s="152"/>
      <c r="PCM5" s="152"/>
      <c r="PCN5" s="152"/>
      <c r="PCO5" s="152"/>
      <c r="PCP5" s="152"/>
      <c r="PCQ5" s="152"/>
      <c r="PCR5" s="152"/>
      <c r="PCS5" s="152"/>
      <c r="PCT5" s="152"/>
      <c r="PCU5" s="152"/>
      <c r="PCV5" s="152"/>
      <c r="PCW5" s="152"/>
      <c r="PCX5" s="152"/>
      <c r="PCY5" s="152"/>
      <c r="PCZ5" s="152"/>
      <c r="PDA5" s="152"/>
      <c r="PDB5" s="152"/>
      <c r="PDC5" s="152"/>
      <c r="PDD5" s="152"/>
      <c r="PDE5" s="152"/>
      <c r="PDF5" s="152"/>
      <c r="PDG5" s="152"/>
      <c r="PDH5" s="152"/>
      <c r="PDI5" s="152"/>
      <c r="PDJ5" s="152"/>
      <c r="PDK5" s="152"/>
      <c r="PDL5" s="152"/>
      <c r="PDM5" s="152"/>
      <c r="PDN5" s="152"/>
      <c r="PDO5" s="152"/>
      <c r="PDP5" s="152"/>
      <c r="PDQ5" s="152"/>
      <c r="PDR5" s="152"/>
      <c r="PDS5" s="152"/>
      <c r="PDT5" s="152"/>
      <c r="PDU5" s="152"/>
      <c r="PDV5" s="152"/>
      <c r="PDW5" s="152"/>
      <c r="PDX5" s="152"/>
      <c r="PDY5" s="152"/>
      <c r="PDZ5" s="152"/>
      <c r="PEA5" s="152"/>
      <c r="PEB5" s="152"/>
      <c r="PEC5" s="152"/>
      <c r="PED5" s="152"/>
      <c r="PEE5" s="152"/>
      <c r="PEF5" s="152"/>
      <c r="PEG5" s="152"/>
      <c r="PEH5" s="152"/>
      <c r="PEI5" s="152"/>
      <c r="PEJ5" s="152"/>
      <c r="PEK5" s="152"/>
      <c r="PEL5" s="152"/>
      <c r="PEM5" s="152"/>
      <c r="PEN5" s="152"/>
      <c r="PEO5" s="152"/>
      <c r="PEP5" s="152"/>
      <c r="PEQ5" s="152"/>
      <c r="PER5" s="152"/>
      <c r="PES5" s="152"/>
      <c r="PET5" s="152"/>
      <c r="PEU5" s="152"/>
      <c r="PEV5" s="152"/>
      <c r="PEW5" s="152"/>
      <c r="PEX5" s="152"/>
      <c r="PEY5" s="152"/>
      <c r="PEZ5" s="152"/>
      <c r="PFA5" s="152"/>
      <c r="PFB5" s="152"/>
      <c r="PFC5" s="152"/>
      <c r="PFD5" s="152"/>
      <c r="PFE5" s="152"/>
      <c r="PFF5" s="152"/>
      <c r="PFG5" s="152"/>
      <c r="PFH5" s="152"/>
      <c r="PFI5" s="152"/>
      <c r="PFJ5" s="152"/>
      <c r="PFK5" s="152"/>
      <c r="PFL5" s="152"/>
      <c r="PFM5" s="152"/>
      <c r="PFN5" s="152"/>
      <c r="PFO5" s="152"/>
      <c r="PFP5" s="152"/>
      <c r="PFQ5" s="152"/>
      <c r="PFR5" s="152"/>
      <c r="PFS5" s="152"/>
      <c r="PFT5" s="152"/>
      <c r="PFU5" s="152"/>
      <c r="PFV5" s="152"/>
      <c r="PFW5" s="152"/>
      <c r="PFX5" s="152"/>
      <c r="PFY5" s="152"/>
      <c r="PFZ5" s="152"/>
      <c r="PGA5" s="152"/>
      <c r="PGB5" s="152"/>
      <c r="PGC5" s="152"/>
      <c r="PGD5" s="152"/>
      <c r="PGE5" s="152"/>
      <c r="PGF5" s="152"/>
      <c r="PGG5" s="152"/>
      <c r="PGH5" s="152"/>
      <c r="PGI5" s="152"/>
      <c r="PGJ5" s="152"/>
      <c r="PGK5" s="152"/>
      <c r="PGL5" s="152"/>
      <c r="PGM5" s="152"/>
      <c r="PGN5" s="152"/>
      <c r="PGO5" s="152"/>
      <c r="PGP5" s="152"/>
      <c r="PGQ5" s="152"/>
      <c r="PGR5" s="152"/>
      <c r="PGS5" s="152"/>
      <c r="PGT5" s="152"/>
      <c r="PGU5" s="152"/>
      <c r="PGV5" s="152"/>
      <c r="PGW5" s="152"/>
      <c r="PGX5" s="152"/>
      <c r="PGY5" s="152"/>
      <c r="PGZ5" s="152"/>
      <c r="PHA5" s="152"/>
      <c r="PHB5" s="152"/>
      <c r="PHC5" s="152"/>
      <c r="PHD5" s="152"/>
      <c r="PHE5" s="152"/>
      <c r="PHF5" s="152"/>
      <c r="PHG5" s="152"/>
      <c r="PHH5" s="152"/>
      <c r="PHI5" s="152"/>
      <c r="PHJ5" s="152"/>
      <c r="PHK5" s="152"/>
      <c r="PHL5" s="152"/>
      <c r="PHM5" s="152"/>
      <c r="PHN5" s="152"/>
      <c r="PHO5" s="152"/>
      <c r="PHP5" s="152"/>
      <c r="PHQ5" s="152"/>
      <c r="PHR5" s="152"/>
      <c r="PHS5" s="152"/>
      <c r="PHT5" s="152"/>
      <c r="PHU5" s="152"/>
      <c r="PHV5" s="152"/>
      <c r="PHW5" s="152"/>
      <c r="PHX5" s="152"/>
      <c r="PHY5" s="152"/>
      <c r="PHZ5" s="152"/>
      <c r="PIA5" s="152"/>
      <c r="PIB5" s="152"/>
      <c r="PIC5" s="152"/>
      <c r="PID5" s="152"/>
      <c r="PIE5" s="152"/>
      <c r="PIF5" s="152"/>
      <c r="PIG5" s="152"/>
      <c r="PIH5" s="152"/>
      <c r="PII5" s="152"/>
      <c r="PIJ5" s="152"/>
      <c r="PIK5" s="152"/>
      <c r="PIL5" s="152"/>
      <c r="PIM5" s="152"/>
      <c r="PIN5" s="152"/>
      <c r="PIO5" s="152"/>
      <c r="PIP5" s="152"/>
      <c r="PIQ5" s="152"/>
      <c r="PIR5" s="152"/>
      <c r="PIS5" s="152"/>
      <c r="PIT5" s="152"/>
      <c r="PIU5" s="152"/>
      <c r="PIV5" s="152"/>
      <c r="PIW5" s="152"/>
      <c r="PIX5" s="152"/>
      <c r="PIY5" s="152"/>
      <c r="PIZ5" s="152"/>
      <c r="PJA5" s="152"/>
      <c r="PJB5" s="152"/>
      <c r="PJC5" s="152"/>
      <c r="PJD5" s="152"/>
      <c r="PJE5" s="152"/>
      <c r="PJF5" s="152"/>
      <c r="PJG5" s="152"/>
      <c r="PJH5" s="152"/>
      <c r="PJI5" s="152"/>
      <c r="PJJ5" s="152"/>
      <c r="PJK5" s="152"/>
      <c r="PJL5" s="152"/>
      <c r="PJM5" s="152"/>
      <c r="PJN5" s="152"/>
      <c r="PJO5" s="152"/>
      <c r="PJP5" s="152"/>
      <c r="PJQ5" s="152"/>
      <c r="PJR5" s="152"/>
      <c r="PJS5" s="152"/>
      <c r="PJT5" s="152"/>
      <c r="PJU5" s="152"/>
      <c r="PJV5" s="152"/>
      <c r="PJW5" s="152"/>
      <c r="PJX5" s="152"/>
      <c r="PJY5" s="152"/>
      <c r="PJZ5" s="152"/>
      <c r="PKA5" s="152"/>
      <c r="PKB5" s="152"/>
      <c r="PKC5" s="152"/>
      <c r="PKD5" s="152"/>
      <c r="PKE5" s="152"/>
      <c r="PKF5" s="152"/>
      <c r="PKG5" s="152"/>
      <c r="PKH5" s="152"/>
      <c r="PKI5" s="152"/>
      <c r="PKJ5" s="152"/>
      <c r="PKK5" s="152"/>
      <c r="PKL5" s="152"/>
      <c r="PKM5" s="152"/>
      <c r="PKN5" s="152"/>
      <c r="PKO5" s="152"/>
      <c r="PKP5" s="152"/>
      <c r="PKQ5" s="152"/>
      <c r="PKR5" s="152"/>
      <c r="PKS5" s="152"/>
      <c r="PKT5" s="152"/>
      <c r="PKU5" s="152"/>
      <c r="PKV5" s="152"/>
      <c r="PKW5" s="152"/>
      <c r="PKX5" s="152"/>
      <c r="PKY5" s="152"/>
      <c r="PKZ5" s="152"/>
      <c r="PLA5" s="152"/>
      <c r="PLB5" s="152"/>
      <c r="PLC5" s="152"/>
      <c r="PLD5" s="152"/>
      <c r="PLE5" s="152"/>
      <c r="PLF5" s="152"/>
      <c r="PLG5" s="152"/>
      <c r="PLH5" s="152"/>
      <c r="PLI5" s="152"/>
      <c r="PLJ5" s="152"/>
      <c r="PLK5" s="152"/>
      <c r="PLL5" s="152"/>
      <c r="PLM5" s="152"/>
      <c r="PLN5" s="152"/>
      <c r="PLO5" s="152"/>
      <c r="PLP5" s="152"/>
      <c r="PLQ5" s="152"/>
      <c r="PLR5" s="152"/>
      <c r="PLS5" s="152"/>
      <c r="PLT5" s="152"/>
      <c r="PLU5" s="152"/>
      <c r="PLV5" s="152"/>
      <c r="PLW5" s="152"/>
      <c r="PLX5" s="152"/>
      <c r="PLY5" s="152"/>
      <c r="PLZ5" s="152"/>
      <c r="PMA5" s="152"/>
      <c r="PMB5" s="152"/>
      <c r="PMC5" s="152"/>
      <c r="PMD5" s="152"/>
      <c r="PME5" s="152"/>
      <c r="PMF5" s="152"/>
      <c r="PMG5" s="152"/>
      <c r="PMH5" s="152"/>
      <c r="PMI5" s="152"/>
      <c r="PMJ5" s="152"/>
      <c r="PMK5" s="152"/>
      <c r="PML5" s="152"/>
      <c r="PMM5" s="152"/>
      <c r="PMN5" s="152"/>
      <c r="PMO5" s="152"/>
      <c r="PMP5" s="152"/>
      <c r="PMQ5" s="152"/>
      <c r="PMR5" s="152"/>
      <c r="PMS5" s="152"/>
      <c r="PMT5" s="152"/>
      <c r="PMU5" s="152"/>
      <c r="PMV5" s="152"/>
      <c r="PMW5" s="152"/>
      <c r="PMX5" s="152"/>
      <c r="PMY5" s="152"/>
      <c r="PMZ5" s="152"/>
      <c r="PNA5" s="152"/>
      <c r="PNB5" s="152"/>
      <c r="PNC5" s="152"/>
      <c r="PND5" s="152"/>
      <c r="PNE5" s="152"/>
      <c r="PNF5" s="152"/>
      <c r="PNG5" s="152"/>
      <c r="PNH5" s="152"/>
      <c r="PNI5" s="152"/>
      <c r="PNJ5" s="152"/>
      <c r="PNK5" s="152"/>
      <c r="PNL5" s="152"/>
      <c r="PNM5" s="152"/>
      <c r="PNN5" s="152"/>
      <c r="PNO5" s="152"/>
      <c r="PNP5" s="152"/>
      <c r="PNQ5" s="152"/>
      <c r="PNR5" s="152"/>
      <c r="PNS5" s="152"/>
      <c r="PNT5" s="152"/>
      <c r="PNU5" s="152"/>
      <c r="PNV5" s="152"/>
      <c r="PNW5" s="152"/>
      <c r="PNX5" s="152"/>
      <c r="PNY5" s="152"/>
      <c r="PNZ5" s="152"/>
      <c r="POA5" s="152"/>
      <c r="POB5" s="152"/>
      <c r="POC5" s="152"/>
      <c r="POD5" s="152"/>
      <c r="POE5" s="152"/>
      <c r="POF5" s="152"/>
      <c r="POG5" s="152"/>
      <c r="POH5" s="152"/>
      <c r="POI5" s="152"/>
      <c r="POJ5" s="152"/>
      <c r="POK5" s="152"/>
      <c r="POL5" s="152"/>
      <c r="POM5" s="152"/>
      <c r="PON5" s="152"/>
      <c r="POO5" s="152"/>
      <c r="POP5" s="152"/>
      <c r="POQ5" s="152"/>
      <c r="POR5" s="152"/>
      <c r="POS5" s="152"/>
      <c r="POT5" s="152"/>
      <c r="POU5" s="152"/>
      <c r="POV5" s="152"/>
      <c r="POW5" s="152"/>
      <c r="POX5" s="152"/>
      <c r="POY5" s="152"/>
      <c r="POZ5" s="152"/>
      <c r="PPA5" s="152"/>
      <c r="PPB5" s="152"/>
      <c r="PPC5" s="152"/>
      <c r="PPD5" s="152"/>
      <c r="PPE5" s="152"/>
      <c r="PPF5" s="152"/>
      <c r="PPG5" s="152"/>
      <c r="PPH5" s="152"/>
      <c r="PPI5" s="152"/>
      <c r="PPJ5" s="152"/>
      <c r="PPK5" s="152"/>
      <c r="PPL5" s="152"/>
      <c r="PPM5" s="152"/>
      <c r="PPN5" s="152"/>
      <c r="PPO5" s="152"/>
      <c r="PPP5" s="152"/>
      <c r="PPQ5" s="152"/>
      <c r="PPR5" s="152"/>
      <c r="PPS5" s="152"/>
      <c r="PPT5" s="152"/>
      <c r="PPU5" s="152"/>
      <c r="PPV5" s="152"/>
      <c r="PPW5" s="152"/>
      <c r="PPX5" s="152"/>
      <c r="PPY5" s="152"/>
      <c r="PPZ5" s="152"/>
      <c r="PQA5" s="152"/>
      <c r="PQB5" s="152"/>
      <c r="PQC5" s="152"/>
      <c r="PQD5" s="152"/>
      <c r="PQE5" s="152"/>
      <c r="PQF5" s="152"/>
      <c r="PQG5" s="152"/>
      <c r="PQH5" s="152"/>
      <c r="PQI5" s="152"/>
      <c r="PQJ5" s="152"/>
      <c r="PQK5" s="152"/>
      <c r="PQL5" s="152"/>
      <c r="PQM5" s="152"/>
      <c r="PQN5" s="152"/>
      <c r="PQO5" s="152"/>
      <c r="PQP5" s="152"/>
      <c r="PQQ5" s="152"/>
      <c r="PQR5" s="152"/>
      <c r="PQS5" s="152"/>
      <c r="PQT5" s="152"/>
      <c r="PQU5" s="152"/>
      <c r="PQV5" s="152"/>
      <c r="PQW5" s="152"/>
      <c r="PQX5" s="152"/>
      <c r="PQY5" s="152"/>
      <c r="PQZ5" s="152"/>
      <c r="PRA5" s="152"/>
      <c r="PRB5" s="152"/>
      <c r="PRC5" s="152"/>
      <c r="PRD5" s="152"/>
      <c r="PRE5" s="152"/>
      <c r="PRF5" s="152"/>
      <c r="PRG5" s="152"/>
      <c r="PRH5" s="152"/>
      <c r="PRI5" s="152"/>
      <c r="PRJ5" s="152"/>
      <c r="PRK5" s="152"/>
      <c r="PRL5" s="152"/>
      <c r="PRM5" s="152"/>
      <c r="PRN5" s="152"/>
      <c r="PRO5" s="152"/>
      <c r="PRP5" s="152"/>
      <c r="PRQ5" s="152"/>
      <c r="PRR5" s="152"/>
      <c r="PRS5" s="152"/>
      <c r="PRT5" s="152"/>
      <c r="PRU5" s="152"/>
      <c r="PRV5" s="152"/>
      <c r="PRW5" s="152"/>
      <c r="PRX5" s="152"/>
      <c r="PRY5" s="152"/>
      <c r="PRZ5" s="152"/>
      <c r="PSA5" s="152"/>
      <c r="PSB5" s="152"/>
      <c r="PSC5" s="152"/>
      <c r="PSD5" s="152"/>
      <c r="PSE5" s="152"/>
      <c r="PSF5" s="152"/>
      <c r="PSG5" s="152"/>
      <c r="PSH5" s="152"/>
      <c r="PSI5" s="152"/>
      <c r="PSJ5" s="152"/>
      <c r="PSK5" s="152"/>
      <c r="PSL5" s="152"/>
      <c r="PSM5" s="152"/>
      <c r="PSN5" s="152"/>
      <c r="PSO5" s="152"/>
      <c r="PSP5" s="152"/>
      <c r="PSQ5" s="152"/>
      <c r="PSR5" s="152"/>
      <c r="PSS5" s="152"/>
      <c r="PST5" s="152"/>
      <c r="PSU5" s="152"/>
      <c r="PSV5" s="152"/>
      <c r="PSW5" s="152"/>
      <c r="PSX5" s="152"/>
      <c r="PSY5" s="152"/>
      <c r="PSZ5" s="152"/>
      <c r="PTA5" s="152"/>
      <c r="PTB5" s="152"/>
      <c r="PTC5" s="152"/>
      <c r="PTD5" s="152"/>
      <c r="PTE5" s="152"/>
      <c r="PTF5" s="152"/>
      <c r="PTG5" s="152"/>
      <c r="PTH5" s="152"/>
      <c r="PTI5" s="152"/>
      <c r="PTJ5" s="152"/>
      <c r="PTK5" s="152"/>
      <c r="PTL5" s="152"/>
      <c r="PTM5" s="152"/>
      <c r="PTN5" s="152"/>
      <c r="PTO5" s="152"/>
      <c r="PTP5" s="152"/>
      <c r="PTQ5" s="152"/>
      <c r="PTR5" s="152"/>
      <c r="PTS5" s="152"/>
      <c r="PTT5" s="152"/>
      <c r="PTU5" s="152"/>
      <c r="PTV5" s="152"/>
      <c r="PTW5" s="152"/>
      <c r="PTX5" s="152"/>
      <c r="PTY5" s="152"/>
      <c r="PTZ5" s="152"/>
      <c r="PUA5" s="152"/>
      <c r="PUB5" s="152"/>
      <c r="PUC5" s="152"/>
      <c r="PUD5" s="152"/>
      <c r="PUE5" s="152"/>
      <c r="PUF5" s="152"/>
      <c r="PUG5" s="152"/>
      <c r="PUH5" s="152"/>
      <c r="PUI5" s="152"/>
      <c r="PUJ5" s="152"/>
      <c r="PUK5" s="152"/>
      <c r="PUL5" s="152"/>
      <c r="PUM5" s="152"/>
      <c r="PUN5" s="152"/>
      <c r="PUO5" s="152"/>
      <c r="PUP5" s="152"/>
      <c r="PUQ5" s="152"/>
      <c r="PUR5" s="152"/>
      <c r="PUS5" s="152"/>
      <c r="PUT5" s="152"/>
      <c r="PUU5" s="152"/>
      <c r="PUV5" s="152"/>
      <c r="PUW5" s="152"/>
      <c r="PUX5" s="152"/>
      <c r="PUY5" s="152"/>
      <c r="PUZ5" s="152"/>
      <c r="PVA5" s="152"/>
      <c r="PVB5" s="152"/>
      <c r="PVC5" s="152"/>
      <c r="PVD5" s="152"/>
      <c r="PVE5" s="152"/>
      <c r="PVF5" s="152"/>
      <c r="PVG5" s="152"/>
      <c r="PVH5" s="152"/>
      <c r="PVI5" s="152"/>
      <c r="PVJ5" s="152"/>
      <c r="PVK5" s="152"/>
      <c r="PVL5" s="152"/>
      <c r="PVM5" s="152"/>
      <c r="PVN5" s="152"/>
      <c r="PVO5" s="152"/>
      <c r="PVP5" s="152"/>
      <c r="PVQ5" s="152"/>
      <c r="PVR5" s="152"/>
      <c r="PVS5" s="152"/>
      <c r="PVT5" s="152"/>
      <c r="PVU5" s="152"/>
      <c r="PVV5" s="152"/>
      <c r="PVW5" s="152"/>
      <c r="PVX5" s="152"/>
      <c r="PVY5" s="152"/>
      <c r="PVZ5" s="152"/>
      <c r="PWA5" s="152"/>
      <c r="PWB5" s="152"/>
      <c r="PWC5" s="152"/>
      <c r="PWD5" s="152"/>
      <c r="PWE5" s="152"/>
      <c r="PWF5" s="152"/>
      <c r="PWG5" s="152"/>
      <c r="PWH5" s="152"/>
      <c r="PWI5" s="152"/>
      <c r="PWJ5" s="152"/>
      <c r="PWK5" s="152"/>
      <c r="PWL5" s="152"/>
      <c r="PWM5" s="152"/>
      <c r="PWN5" s="152"/>
      <c r="PWO5" s="152"/>
      <c r="PWP5" s="152"/>
      <c r="PWQ5" s="152"/>
      <c r="PWR5" s="152"/>
      <c r="PWS5" s="152"/>
      <c r="PWT5" s="152"/>
      <c r="PWU5" s="152"/>
      <c r="PWV5" s="152"/>
      <c r="PWW5" s="152"/>
      <c r="PWX5" s="152"/>
      <c r="PWY5" s="152"/>
      <c r="PWZ5" s="152"/>
      <c r="PXA5" s="152"/>
      <c r="PXB5" s="152"/>
      <c r="PXC5" s="152"/>
      <c r="PXD5" s="152"/>
      <c r="PXE5" s="152"/>
      <c r="PXF5" s="152"/>
      <c r="PXG5" s="152"/>
      <c r="PXH5" s="152"/>
      <c r="PXI5" s="152"/>
      <c r="PXJ5" s="152"/>
      <c r="PXK5" s="152"/>
      <c r="PXL5" s="152"/>
      <c r="PXM5" s="152"/>
      <c r="PXN5" s="152"/>
      <c r="PXO5" s="152"/>
      <c r="PXP5" s="152"/>
      <c r="PXQ5" s="152"/>
      <c r="PXR5" s="152"/>
      <c r="PXS5" s="152"/>
      <c r="PXT5" s="152"/>
      <c r="PXU5" s="152"/>
      <c r="PXV5" s="152"/>
      <c r="PXW5" s="152"/>
      <c r="PXX5" s="152"/>
      <c r="PXY5" s="152"/>
      <c r="PXZ5" s="152"/>
      <c r="PYA5" s="152"/>
      <c r="PYB5" s="152"/>
      <c r="PYC5" s="152"/>
      <c r="PYD5" s="152"/>
      <c r="PYE5" s="152"/>
      <c r="PYF5" s="152"/>
      <c r="PYG5" s="152"/>
      <c r="PYH5" s="152"/>
      <c r="PYI5" s="152"/>
      <c r="PYJ5" s="152"/>
      <c r="PYK5" s="152"/>
      <c r="PYL5" s="152"/>
      <c r="PYM5" s="152"/>
      <c r="PYN5" s="152"/>
      <c r="PYO5" s="152"/>
      <c r="PYP5" s="152"/>
      <c r="PYQ5" s="152"/>
      <c r="PYR5" s="152"/>
      <c r="PYS5" s="152"/>
      <c r="PYT5" s="152"/>
      <c r="PYU5" s="152"/>
      <c r="PYV5" s="152"/>
      <c r="PYW5" s="152"/>
      <c r="PYX5" s="152"/>
      <c r="PYY5" s="152"/>
      <c r="PYZ5" s="152"/>
      <c r="PZA5" s="152"/>
      <c r="PZB5" s="152"/>
      <c r="PZC5" s="152"/>
      <c r="PZD5" s="152"/>
      <c r="PZE5" s="152"/>
      <c r="PZF5" s="152"/>
      <c r="PZG5" s="152"/>
      <c r="PZH5" s="152"/>
      <c r="PZI5" s="152"/>
      <c r="PZJ5" s="152"/>
      <c r="PZK5" s="152"/>
      <c r="PZL5" s="152"/>
      <c r="PZM5" s="152"/>
      <c r="PZN5" s="152"/>
      <c r="PZO5" s="152"/>
      <c r="PZP5" s="152"/>
      <c r="PZQ5" s="152"/>
      <c r="PZR5" s="152"/>
      <c r="PZS5" s="152"/>
      <c r="PZT5" s="152"/>
      <c r="PZU5" s="152"/>
      <c r="PZV5" s="152"/>
      <c r="PZW5" s="152"/>
      <c r="PZX5" s="152"/>
      <c r="PZY5" s="152"/>
      <c r="PZZ5" s="152"/>
      <c r="QAA5" s="152"/>
      <c r="QAB5" s="152"/>
      <c r="QAC5" s="152"/>
      <c r="QAD5" s="152"/>
      <c r="QAE5" s="152"/>
      <c r="QAF5" s="152"/>
      <c r="QAG5" s="152"/>
      <c r="QAH5" s="152"/>
      <c r="QAI5" s="152"/>
      <c r="QAJ5" s="152"/>
      <c r="QAK5" s="152"/>
      <c r="QAL5" s="152"/>
      <c r="QAM5" s="152"/>
      <c r="QAN5" s="152"/>
      <c r="QAO5" s="152"/>
      <c r="QAP5" s="152"/>
      <c r="QAQ5" s="152"/>
      <c r="QAR5" s="152"/>
      <c r="QAS5" s="152"/>
      <c r="QAT5" s="152"/>
      <c r="QAU5" s="152"/>
      <c r="QAV5" s="152"/>
      <c r="QAW5" s="152"/>
      <c r="QAX5" s="152"/>
      <c r="QAY5" s="152"/>
      <c r="QAZ5" s="152"/>
      <c r="QBA5" s="152"/>
      <c r="QBB5" s="152"/>
      <c r="QBC5" s="152"/>
      <c r="QBD5" s="152"/>
      <c r="QBE5" s="152"/>
      <c r="QBF5" s="152"/>
      <c r="QBG5" s="152"/>
      <c r="QBH5" s="152"/>
      <c r="QBI5" s="152"/>
      <c r="QBJ5" s="152"/>
      <c r="QBK5" s="152"/>
      <c r="QBL5" s="152"/>
      <c r="QBM5" s="152"/>
      <c r="QBN5" s="152"/>
      <c r="QBO5" s="152"/>
      <c r="QBP5" s="152"/>
      <c r="QBQ5" s="152"/>
      <c r="QBR5" s="152"/>
      <c r="QBS5" s="152"/>
      <c r="QBT5" s="152"/>
      <c r="QBU5" s="152"/>
      <c r="QBV5" s="152"/>
      <c r="QBW5" s="152"/>
      <c r="QBX5" s="152"/>
      <c r="QBY5" s="152"/>
      <c r="QBZ5" s="152"/>
      <c r="QCA5" s="152"/>
      <c r="QCB5" s="152"/>
      <c r="QCC5" s="152"/>
      <c r="QCD5" s="152"/>
      <c r="QCE5" s="152"/>
      <c r="QCF5" s="152"/>
      <c r="QCG5" s="152"/>
      <c r="QCH5" s="152"/>
      <c r="QCI5" s="152"/>
      <c r="QCJ5" s="152"/>
      <c r="QCK5" s="152"/>
      <c r="QCL5" s="152"/>
      <c r="QCM5" s="152"/>
      <c r="QCN5" s="152"/>
      <c r="QCO5" s="152"/>
      <c r="QCP5" s="152"/>
      <c r="QCQ5" s="152"/>
      <c r="QCR5" s="152"/>
      <c r="QCS5" s="152"/>
      <c r="QCT5" s="152"/>
      <c r="QCU5" s="152"/>
      <c r="QCV5" s="152"/>
      <c r="QCW5" s="152"/>
      <c r="QCX5" s="152"/>
      <c r="QCY5" s="152"/>
      <c r="QCZ5" s="152"/>
      <c r="QDA5" s="152"/>
      <c r="QDB5" s="152"/>
      <c r="QDC5" s="152"/>
      <c r="QDD5" s="152"/>
      <c r="QDE5" s="152"/>
      <c r="QDF5" s="152"/>
      <c r="QDG5" s="152"/>
      <c r="QDH5" s="152"/>
      <c r="QDI5" s="152"/>
      <c r="QDJ5" s="152"/>
      <c r="QDK5" s="152"/>
      <c r="QDL5" s="152"/>
      <c r="QDM5" s="152"/>
      <c r="QDN5" s="152"/>
      <c r="QDO5" s="152"/>
      <c r="QDP5" s="152"/>
      <c r="QDQ5" s="152"/>
      <c r="QDR5" s="152"/>
      <c r="QDS5" s="152"/>
      <c r="QDT5" s="152"/>
      <c r="QDU5" s="152"/>
      <c r="QDV5" s="152"/>
      <c r="QDW5" s="152"/>
      <c r="QDX5" s="152"/>
      <c r="QDY5" s="152"/>
      <c r="QDZ5" s="152"/>
      <c r="QEA5" s="152"/>
      <c r="QEB5" s="152"/>
      <c r="QEC5" s="152"/>
      <c r="QED5" s="152"/>
      <c r="QEE5" s="152"/>
      <c r="QEF5" s="152"/>
      <c r="QEG5" s="152"/>
      <c r="QEH5" s="152"/>
      <c r="QEI5" s="152"/>
      <c r="QEJ5" s="152"/>
      <c r="QEK5" s="152"/>
      <c r="QEL5" s="152"/>
      <c r="QEM5" s="152"/>
      <c r="QEN5" s="152"/>
      <c r="QEO5" s="152"/>
      <c r="QEP5" s="152"/>
      <c r="QEQ5" s="152"/>
      <c r="QER5" s="152"/>
      <c r="QES5" s="152"/>
      <c r="QET5" s="152"/>
      <c r="QEU5" s="152"/>
      <c r="QEV5" s="152"/>
      <c r="QEW5" s="152"/>
      <c r="QEX5" s="152"/>
      <c r="QEY5" s="152"/>
      <c r="QEZ5" s="152"/>
      <c r="QFA5" s="152"/>
      <c r="QFB5" s="152"/>
      <c r="QFC5" s="152"/>
      <c r="QFD5" s="152"/>
      <c r="QFE5" s="152"/>
      <c r="QFF5" s="152"/>
      <c r="QFG5" s="152"/>
      <c r="QFH5" s="152"/>
      <c r="QFI5" s="152"/>
      <c r="QFJ5" s="152"/>
      <c r="QFK5" s="152"/>
      <c r="QFL5" s="152"/>
      <c r="QFM5" s="152"/>
      <c r="QFN5" s="152"/>
      <c r="QFO5" s="152"/>
      <c r="QFP5" s="152"/>
      <c r="QFQ5" s="152"/>
      <c r="QFR5" s="152"/>
      <c r="QFS5" s="152"/>
      <c r="QFT5" s="152"/>
      <c r="QFU5" s="152"/>
      <c r="QFV5" s="152"/>
      <c r="QFW5" s="152"/>
      <c r="QFX5" s="152"/>
      <c r="QFY5" s="152"/>
      <c r="QFZ5" s="152"/>
      <c r="QGA5" s="152"/>
      <c r="QGB5" s="152"/>
      <c r="QGC5" s="152"/>
      <c r="QGD5" s="152"/>
      <c r="QGE5" s="152"/>
      <c r="QGF5" s="152"/>
      <c r="QGG5" s="152"/>
      <c r="QGH5" s="152"/>
      <c r="QGI5" s="152"/>
      <c r="QGJ5" s="152"/>
      <c r="QGK5" s="152"/>
      <c r="QGL5" s="152"/>
      <c r="QGM5" s="152"/>
      <c r="QGN5" s="152"/>
      <c r="QGO5" s="152"/>
      <c r="QGP5" s="152"/>
      <c r="QGQ5" s="152"/>
      <c r="QGR5" s="152"/>
      <c r="QGS5" s="152"/>
      <c r="QGT5" s="152"/>
      <c r="QGU5" s="152"/>
      <c r="QGV5" s="152"/>
      <c r="QGW5" s="152"/>
      <c r="QGX5" s="152"/>
      <c r="QGY5" s="152"/>
      <c r="QGZ5" s="152"/>
      <c r="QHA5" s="152"/>
      <c r="QHB5" s="152"/>
      <c r="QHC5" s="152"/>
      <c r="QHD5" s="152"/>
      <c r="QHE5" s="152"/>
      <c r="QHF5" s="152"/>
      <c r="QHG5" s="152"/>
      <c r="QHH5" s="152"/>
      <c r="QHI5" s="152"/>
      <c r="QHJ5" s="152"/>
      <c r="QHK5" s="152"/>
      <c r="QHL5" s="152"/>
      <c r="QHM5" s="152"/>
      <c r="QHN5" s="152"/>
      <c r="QHO5" s="152"/>
      <c r="QHP5" s="152"/>
      <c r="QHQ5" s="152"/>
      <c r="QHR5" s="152"/>
      <c r="QHS5" s="152"/>
      <c r="QHT5" s="152"/>
      <c r="QHU5" s="152"/>
      <c r="QHV5" s="152"/>
      <c r="QHW5" s="152"/>
      <c r="QHX5" s="152"/>
      <c r="QHY5" s="152"/>
      <c r="QHZ5" s="152"/>
      <c r="QIA5" s="152"/>
      <c r="QIB5" s="152"/>
      <c r="QIC5" s="152"/>
      <c r="QID5" s="152"/>
      <c r="QIE5" s="152"/>
      <c r="QIF5" s="152"/>
      <c r="QIG5" s="152"/>
      <c r="QIH5" s="152"/>
      <c r="QII5" s="152"/>
      <c r="QIJ5" s="152"/>
      <c r="QIK5" s="152"/>
      <c r="QIL5" s="152"/>
      <c r="QIM5" s="152"/>
      <c r="QIN5" s="152"/>
      <c r="QIO5" s="152"/>
      <c r="QIP5" s="152"/>
      <c r="QIQ5" s="152"/>
      <c r="QIR5" s="152"/>
      <c r="QIS5" s="152"/>
      <c r="QIT5" s="152"/>
      <c r="QIU5" s="152"/>
      <c r="QIV5" s="152"/>
      <c r="QIW5" s="152"/>
      <c r="QIX5" s="152"/>
      <c r="QIY5" s="152"/>
      <c r="QIZ5" s="152"/>
      <c r="QJA5" s="152"/>
      <c r="QJB5" s="152"/>
      <c r="QJC5" s="152"/>
      <c r="QJD5" s="152"/>
      <c r="QJE5" s="152"/>
      <c r="QJF5" s="152"/>
      <c r="QJG5" s="152"/>
      <c r="QJH5" s="152"/>
      <c r="QJI5" s="152"/>
      <c r="QJJ5" s="152"/>
      <c r="QJK5" s="152"/>
      <c r="QJL5" s="152"/>
      <c r="QJM5" s="152"/>
      <c r="QJN5" s="152"/>
      <c r="QJO5" s="152"/>
      <c r="QJP5" s="152"/>
      <c r="QJQ5" s="152"/>
      <c r="QJR5" s="152"/>
      <c r="QJS5" s="152"/>
      <c r="QJT5" s="152"/>
      <c r="QJU5" s="152"/>
      <c r="QJV5" s="152"/>
      <c r="QJW5" s="152"/>
      <c r="QJX5" s="152"/>
      <c r="QJY5" s="152"/>
      <c r="QJZ5" s="152"/>
      <c r="QKA5" s="152"/>
      <c r="QKB5" s="152"/>
      <c r="QKC5" s="152"/>
      <c r="QKD5" s="152"/>
      <c r="QKE5" s="152"/>
      <c r="QKF5" s="152"/>
      <c r="QKG5" s="152"/>
      <c r="QKH5" s="152"/>
      <c r="QKI5" s="152"/>
      <c r="QKJ5" s="152"/>
      <c r="QKK5" s="152"/>
      <c r="QKL5" s="152"/>
      <c r="QKM5" s="152"/>
      <c r="QKN5" s="152"/>
      <c r="QKO5" s="152"/>
      <c r="QKP5" s="152"/>
      <c r="QKQ5" s="152"/>
      <c r="QKR5" s="152"/>
      <c r="QKS5" s="152"/>
      <c r="QKT5" s="152"/>
      <c r="QKU5" s="152"/>
      <c r="QKV5" s="152"/>
      <c r="QKW5" s="152"/>
      <c r="QKX5" s="152"/>
      <c r="QKY5" s="152"/>
      <c r="QKZ5" s="152"/>
      <c r="QLA5" s="152"/>
      <c r="QLB5" s="152"/>
      <c r="QLC5" s="152"/>
      <c r="QLD5" s="152"/>
      <c r="QLE5" s="152"/>
      <c r="QLF5" s="152"/>
      <c r="QLG5" s="152"/>
      <c r="QLH5" s="152"/>
      <c r="QLI5" s="152"/>
      <c r="QLJ5" s="152"/>
      <c r="QLK5" s="152"/>
      <c r="QLL5" s="152"/>
      <c r="QLM5" s="152"/>
      <c r="QLN5" s="152"/>
      <c r="QLO5" s="152"/>
      <c r="QLP5" s="152"/>
      <c r="QLQ5" s="152"/>
      <c r="QLR5" s="152"/>
      <c r="QLS5" s="152"/>
      <c r="QLT5" s="152"/>
      <c r="QLU5" s="152"/>
      <c r="QLV5" s="152"/>
      <c r="QLW5" s="152"/>
      <c r="QLX5" s="152"/>
      <c r="QLY5" s="152"/>
      <c r="QLZ5" s="152"/>
      <c r="QMA5" s="152"/>
      <c r="QMB5" s="152"/>
      <c r="QMC5" s="152"/>
      <c r="QMD5" s="152"/>
      <c r="QME5" s="152"/>
      <c r="QMF5" s="152"/>
      <c r="QMG5" s="152"/>
      <c r="QMH5" s="152"/>
      <c r="QMI5" s="152"/>
      <c r="QMJ5" s="152"/>
      <c r="QMK5" s="152"/>
      <c r="QML5" s="152"/>
      <c r="QMM5" s="152"/>
      <c r="QMN5" s="152"/>
      <c r="QMO5" s="152"/>
      <c r="QMP5" s="152"/>
      <c r="QMQ5" s="152"/>
      <c r="QMR5" s="152"/>
      <c r="QMS5" s="152"/>
      <c r="QMT5" s="152"/>
      <c r="QMU5" s="152"/>
      <c r="QMV5" s="152"/>
      <c r="QMW5" s="152"/>
      <c r="QMX5" s="152"/>
      <c r="QMY5" s="152"/>
      <c r="QMZ5" s="152"/>
      <c r="QNA5" s="152"/>
      <c r="QNB5" s="152"/>
      <c r="QNC5" s="152"/>
      <c r="QND5" s="152"/>
      <c r="QNE5" s="152"/>
      <c r="QNF5" s="152"/>
      <c r="QNG5" s="152"/>
      <c r="QNH5" s="152"/>
      <c r="QNI5" s="152"/>
      <c r="QNJ5" s="152"/>
      <c r="QNK5" s="152"/>
      <c r="QNL5" s="152"/>
      <c r="QNM5" s="152"/>
      <c r="QNN5" s="152"/>
      <c r="QNO5" s="152"/>
      <c r="QNP5" s="152"/>
      <c r="QNQ5" s="152"/>
      <c r="QNR5" s="152"/>
      <c r="QNS5" s="152"/>
      <c r="QNT5" s="152"/>
      <c r="QNU5" s="152"/>
      <c r="QNV5" s="152"/>
      <c r="QNW5" s="152"/>
      <c r="QNX5" s="152"/>
      <c r="QNY5" s="152"/>
      <c r="QNZ5" s="152"/>
      <c r="QOA5" s="152"/>
      <c r="QOB5" s="152"/>
      <c r="QOC5" s="152"/>
      <c r="QOD5" s="152"/>
      <c r="QOE5" s="152"/>
      <c r="QOF5" s="152"/>
      <c r="QOG5" s="152"/>
      <c r="QOH5" s="152"/>
      <c r="QOI5" s="152"/>
      <c r="QOJ5" s="152"/>
      <c r="QOK5" s="152"/>
      <c r="QOL5" s="152"/>
      <c r="QOM5" s="152"/>
      <c r="QON5" s="152"/>
      <c r="QOO5" s="152"/>
      <c r="QOP5" s="152"/>
      <c r="QOQ5" s="152"/>
      <c r="QOR5" s="152"/>
      <c r="QOS5" s="152"/>
      <c r="QOT5" s="152"/>
      <c r="QOU5" s="152"/>
      <c r="QOV5" s="152"/>
      <c r="QOW5" s="152"/>
      <c r="QOX5" s="152"/>
      <c r="QOY5" s="152"/>
      <c r="QOZ5" s="152"/>
      <c r="QPA5" s="152"/>
      <c r="QPB5" s="152"/>
      <c r="QPC5" s="152"/>
      <c r="QPD5" s="152"/>
      <c r="QPE5" s="152"/>
      <c r="QPF5" s="152"/>
      <c r="QPG5" s="152"/>
      <c r="QPH5" s="152"/>
      <c r="QPI5" s="152"/>
      <c r="QPJ5" s="152"/>
      <c r="QPK5" s="152"/>
      <c r="QPL5" s="152"/>
      <c r="QPM5" s="152"/>
      <c r="QPN5" s="152"/>
      <c r="QPO5" s="152"/>
      <c r="QPP5" s="152"/>
      <c r="QPQ5" s="152"/>
      <c r="QPR5" s="152"/>
      <c r="QPS5" s="152"/>
      <c r="QPT5" s="152"/>
      <c r="QPU5" s="152"/>
      <c r="QPV5" s="152"/>
      <c r="QPW5" s="152"/>
      <c r="QPX5" s="152"/>
      <c r="QPY5" s="152"/>
      <c r="QPZ5" s="152"/>
      <c r="QQA5" s="152"/>
      <c r="QQB5" s="152"/>
      <c r="QQC5" s="152"/>
      <c r="QQD5" s="152"/>
      <c r="QQE5" s="152"/>
      <c r="QQF5" s="152"/>
      <c r="QQG5" s="152"/>
      <c r="QQH5" s="152"/>
      <c r="QQI5" s="152"/>
      <c r="QQJ5" s="152"/>
      <c r="QQK5" s="152"/>
      <c r="QQL5" s="152"/>
      <c r="QQM5" s="152"/>
      <c r="QQN5" s="152"/>
      <c r="QQO5" s="152"/>
      <c r="QQP5" s="152"/>
      <c r="QQQ5" s="152"/>
      <c r="QQR5" s="152"/>
      <c r="QQS5" s="152"/>
      <c r="QQT5" s="152"/>
      <c r="QQU5" s="152"/>
      <c r="QQV5" s="152"/>
      <c r="QQW5" s="152"/>
      <c r="QQX5" s="152"/>
      <c r="QQY5" s="152"/>
      <c r="QQZ5" s="152"/>
      <c r="QRA5" s="152"/>
      <c r="QRB5" s="152"/>
      <c r="QRC5" s="152"/>
      <c r="QRD5" s="152"/>
      <c r="QRE5" s="152"/>
      <c r="QRF5" s="152"/>
      <c r="QRG5" s="152"/>
      <c r="QRH5" s="152"/>
      <c r="QRI5" s="152"/>
      <c r="QRJ5" s="152"/>
      <c r="QRK5" s="152"/>
      <c r="QRL5" s="152"/>
      <c r="QRM5" s="152"/>
      <c r="QRN5" s="152"/>
      <c r="QRO5" s="152"/>
      <c r="QRP5" s="152"/>
      <c r="QRQ5" s="152"/>
      <c r="QRR5" s="152"/>
      <c r="QRS5" s="152"/>
      <c r="QRT5" s="152"/>
      <c r="QRU5" s="152"/>
      <c r="QRV5" s="152"/>
      <c r="QRW5" s="152"/>
      <c r="QRX5" s="152"/>
      <c r="QRY5" s="152"/>
      <c r="QRZ5" s="152"/>
      <c r="QSA5" s="152"/>
      <c r="QSB5" s="152"/>
      <c r="QSC5" s="152"/>
      <c r="QSD5" s="152"/>
      <c r="QSE5" s="152"/>
      <c r="QSF5" s="152"/>
      <c r="QSG5" s="152"/>
      <c r="QSH5" s="152"/>
      <c r="QSI5" s="152"/>
      <c r="QSJ5" s="152"/>
      <c r="QSK5" s="152"/>
      <c r="QSL5" s="152"/>
      <c r="QSM5" s="152"/>
      <c r="QSN5" s="152"/>
      <c r="QSO5" s="152"/>
      <c r="QSP5" s="152"/>
      <c r="QSQ5" s="152"/>
      <c r="QSR5" s="152"/>
      <c r="QSS5" s="152"/>
      <c r="QST5" s="152"/>
      <c r="QSU5" s="152"/>
      <c r="QSV5" s="152"/>
      <c r="QSW5" s="152"/>
      <c r="QSX5" s="152"/>
      <c r="QSY5" s="152"/>
      <c r="QSZ5" s="152"/>
      <c r="QTA5" s="152"/>
      <c r="QTB5" s="152"/>
      <c r="QTC5" s="152"/>
      <c r="QTD5" s="152"/>
      <c r="QTE5" s="152"/>
      <c r="QTF5" s="152"/>
      <c r="QTG5" s="152"/>
      <c r="QTH5" s="152"/>
      <c r="QTI5" s="152"/>
      <c r="QTJ5" s="152"/>
      <c r="QTK5" s="152"/>
      <c r="QTL5" s="152"/>
      <c r="QTM5" s="152"/>
      <c r="QTN5" s="152"/>
      <c r="QTO5" s="152"/>
      <c r="QTP5" s="152"/>
      <c r="QTQ5" s="152"/>
      <c r="QTR5" s="152"/>
      <c r="QTS5" s="152"/>
      <c r="QTT5" s="152"/>
      <c r="QTU5" s="152"/>
      <c r="QTV5" s="152"/>
      <c r="QTW5" s="152"/>
      <c r="QTX5" s="152"/>
      <c r="QTY5" s="152"/>
      <c r="QTZ5" s="152"/>
      <c r="QUA5" s="152"/>
      <c r="QUB5" s="152"/>
      <c r="QUC5" s="152"/>
      <c r="QUD5" s="152"/>
      <c r="QUE5" s="152"/>
      <c r="QUF5" s="152"/>
      <c r="QUG5" s="152"/>
      <c r="QUH5" s="152"/>
      <c r="QUI5" s="152"/>
      <c r="QUJ5" s="152"/>
      <c r="QUK5" s="152"/>
      <c r="QUL5" s="152"/>
      <c r="QUM5" s="152"/>
      <c r="QUN5" s="152"/>
      <c r="QUO5" s="152"/>
      <c r="QUP5" s="152"/>
      <c r="QUQ5" s="152"/>
      <c r="QUR5" s="152"/>
      <c r="QUS5" s="152"/>
      <c r="QUT5" s="152"/>
      <c r="QUU5" s="152"/>
      <c r="QUV5" s="152"/>
      <c r="QUW5" s="152"/>
      <c r="QUX5" s="152"/>
      <c r="QUY5" s="152"/>
      <c r="QUZ5" s="152"/>
      <c r="QVA5" s="152"/>
      <c r="QVB5" s="152"/>
      <c r="QVC5" s="152"/>
      <c r="QVD5" s="152"/>
      <c r="QVE5" s="152"/>
      <c r="QVF5" s="152"/>
      <c r="QVG5" s="152"/>
      <c r="QVH5" s="152"/>
      <c r="QVI5" s="152"/>
      <c r="QVJ5" s="152"/>
      <c r="QVK5" s="152"/>
      <c r="QVL5" s="152"/>
      <c r="QVM5" s="152"/>
      <c r="QVN5" s="152"/>
      <c r="QVO5" s="152"/>
      <c r="QVP5" s="152"/>
      <c r="QVQ5" s="152"/>
      <c r="QVR5" s="152"/>
      <c r="QVS5" s="152"/>
      <c r="QVT5" s="152"/>
      <c r="QVU5" s="152"/>
      <c r="QVV5" s="152"/>
      <c r="QVW5" s="152"/>
      <c r="QVX5" s="152"/>
      <c r="QVY5" s="152"/>
      <c r="QVZ5" s="152"/>
      <c r="QWA5" s="152"/>
      <c r="QWB5" s="152"/>
      <c r="QWC5" s="152"/>
      <c r="QWD5" s="152"/>
      <c r="QWE5" s="152"/>
      <c r="QWF5" s="152"/>
      <c r="QWG5" s="152"/>
      <c r="QWH5" s="152"/>
      <c r="QWI5" s="152"/>
      <c r="QWJ5" s="152"/>
      <c r="QWK5" s="152"/>
      <c r="QWL5" s="152"/>
      <c r="QWM5" s="152"/>
      <c r="QWN5" s="152"/>
      <c r="QWO5" s="152"/>
      <c r="QWP5" s="152"/>
      <c r="QWQ5" s="152"/>
      <c r="QWR5" s="152"/>
      <c r="QWS5" s="152"/>
      <c r="QWT5" s="152"/>
      <c r="QWU5" s="152"/>
      <c r="QWV5" s="152"/>
      <c r="QWW5" s="152"/>
      <c r="QWX5" s="152"/>
      <c r="QWY5" s="152"/>
      <c r="QWZ5" s="152"/>
      <c r="QXA5" s="152"/>
      <c r="QXB5" s="152"/>
      <c r="QXC5" s="152"/>
      <c r="QXD5" s="152"/>
      <c r="QXE5" s="152"/>
      <c r="QXF5" s="152"/>
      <c r="QXG5" s="152"/>
      <c r="QXH5" s="152"/>
      <c r="QXI5" s="152"/>
      <c r="QXJ5" s="152"/>
      <c r="QXK5" s="152"/>
      <c r="QXL5" s="152"/>
      <c r="QXM5" s="152"/>
      <c r="QXN5" s="152"/>
      <c r="QXO5" s="152"/>
      <c r="QXP5" s="152"/>
      <c r="QXQ5" s="152"/>
      <c r="QXR5" s="152"/>
      <c r="QXS5" s="152"/>
      <c r="QXT5" s="152"/>
      <c r="QXU5" s="152"/>
      <c r="QXV5" s="152"/>
      <c r="QXW5" s="152"/>
      <c r="QXX5" s="152"/>
      <c r="QXY5" s="152"/>
      <c r="QXZ5" s="152"/>
      <c r="QYA5" s="152"/>
      <c r="QYB5" s="152"/>
      <c r="QYC5" s="152"/>
      <c r="QYD5" s="152"/>
      <c r="QYE5" s="152"/>
      <c r="QYF5" s="152"/>
      <c r="QYG5" s="152"/>
      <c r="QYH5" s="152"/>
      <c r="QYI5" s="152"/>
      <c r="QYJ5" s="152"/>
      <c r="QYK5" s="152"/>
      <c r="QYL5" s="152"/>
      <c r="QYM5" s="152"/>
      <c r="QYN5" s="152"/>
      <c r="QYO5" s="152"/>
      <c r="QYP5" s="152"/>
      <c r="QYQ5" s="152"/>
      <c r="QYR5" s="152"/>
      <c r="QYS5" s="152"/>
      <c r="QYT5" s="152"/>
      <c r="QYU5" s="152"/>
      <c r="QYV5" s="152"/>
      <c r="QYW5" s="152"/>
      <c r="QYX5" s="152"/>
      <c r="QYY5" s="152"/>
      <c r="QYZ5" s="152"/>
      <c r="QZA5" s="152"/>
      <c r="QZB5" s="152"/>
      <c r="QZC5" s="152"/>
      <c r="QZD5" s="152"/>
      <c r="QZE5" s="152"/>
      <c r="QZF5" s="152"/>
      <c r="QZG5" s="152"/>
      <c r="QZH5" s="152"/>
      <c r="QZI5" s="152"/>
      <c r="QZJ5" s="152"/>
      <c r="QZK5" s="152"/>
      <c r="QZL5" s="152"/>
      <c r="QZM5" s="152"/>
      <c r="QZN5" s="152"/>
      <c r="QZO5" s="152"/>
      <c r="QZP5" s="152"/>
      <c r="QZQ5" s="152"/>
      <c r="QZR5" s="152"/>
      <c r="QZS5" s="152"/>
      <c r="QZT5" s="152"/>
      <c r="QZU5" s="152"/>
      <c r="QZV5" s="152"/>
      <c r="QZW5" s="152"/>
      <c r="QZX5" s="152"/>
      <c r="QZY5" s="152"/>
      <c r="QZZ5" s="152"/>
      <c r="RAA5" s="152"/>
      <c r="RAB5" s="152"/>
      <c r="RAC5" s="152"/>
      <c r="RAD5" s="152"/>
      <c r="RAE5" s="152"/>
      <c r="RAF5" s="152"/>
      <c r="RAG5" s="152"/>
      <c r="RAH5" s="152"/>
      <c r="RAI5" s="152"/>
      <c r="RAJ5" s="152"/>
      <c r="RAK5" s="152"/>
      <c r="RAL5" s="152"/>
      <c r="RAM5" s="152"/>
      <c r="RAN5" s="152"/>
      <c r="RAO5" s="152"/>
      <c r="RAP5" s="152"/>
      <c r="RAQ5" s="152"/>
      <c r="RAR5" s="152"/>
      <c r="RAS5" s="152"/>
      <c r="RAT5" s="152"/>
      <c r="RAU5" s="152"/>
      <c r="RAV5" s="152"/>
      <c r="RAW5" s="152"/>
      <c r="RAX5" s="152"/>
      <c r="RAY5" s="152"/>
      <c r="RAZ5" s="152"/>
      <c r="RBA5" s="152"/>
      <c r="RBB5" s="152"/>
      <c r="RBC5" s="152"/>
      <c r="RBD5" s="152"/>
      <c r="RBE5" s="152"/>
      <c r="RBF5" s="152"/>
      <c r="RBG5" s="152"/>
      <c r="RBH5" s="152"/>
      <c r="RBI5" s="152"/>
      <c r="RBJ5" s="152"/>
      <c r="RBK5" s="152"/>
      <c r="RBL5" s="152"/>
      <c r="RBM5" s="152"/>
      <c r="RBN5" s="152"/>
      <c r="RBO5" s="152"/>
      <c r="RBP5" s="152"/>
      <c r="RBQ5" s="152"/>
      <c r="RBR5" s="152"/>
      <c r="RBS5" s="152"/>
      <c r="RBT5" s="152"/>
      <c r="RBU5" s="152"/>
      <c r="RBV5" s="152"/>
      <c r="RBW5" s="152"/>
      <c r="RBX5" s="152"/>
      <c r="RBY5" s="152"/>
      <c r="RBZ5" s="152"/>
      <c r="RCA5" s="152"/>
      <c r="RCB5" s="152"/>
      <c r="RCC5" s="152"/>
      <c r="RCD5" s="152"/>
      <c r="RCE5" s="152"/>
      <c r="RCF5" s="152"/>
      <c r="RCG5" s="152"/>
      <c r="RCH5" s="152"/>
      <c r="RCI5" s="152"/>
      <c r="RCJ5" s="152"/>
      <c r="RCK5" s="152"/>
      <c r="RCL5" s="152"/>
      <c r="RCM5" s="152"/>
      <c r="RCN5" s="152"/>
      <c r="RCO5" s="152"/>
      <c r="RCP5" s="152"/>
      <c r="RCQ5" s="152"/>
      <c r="RCR5" s="152"/>
      <c r="RCS5" s="152"/>
      <c r="RCT5" s="152"/>
      <c r="RCU5" s="152"/>
      <c r="RCV5" s="152"/>
      <c r="RCW5" s="152"/>
      <c r="RCX5" s="152"/>
      <c r="RCY5" s="152"/>
      <c r="RCZ5" s="152"/>
      <c r="RDA5" s="152"/>
      <c r="RDB5" s="152"/>
      <c r="RDC5" s="152"/>
      <c r="RDD5" s="152"/>
      <c r="RDE5" s="152"/>
      <c r="RDF5" s="152"/>
      <c r="RDG5" s="152"/>
      <c r="RDH5" s="152"/>
      <c r="RDI5" s="152"/>
      <c r="RDJ5" s="152"/>
      <c r="RDK5" s="152"/>
      <c r="RDL5" s="152"/>
      <c r="RDM5" s="152"/>
      <c r="RDN5" s="152"/>
      <c r="RDO5" s="152"/>
      <c r="RDP5" s="152"/>
      <c r="RDQ5" s="152"/>
      <c r="RDR5" s="152"/>
      <c r="RDS5" s="152"/>
      <c r="RDT5" s="152"/>
      <c r="RDU5" s="152"/>
      <c r="RDV5" s="152"/>
      <c r="RDW5" s="152"/>
      <c r="RDX5" s="152"/>
      <c r="RDY5" s="152"/>
      <c r="RDZ5" s="152"/>
      <c r="REA5" s="152"/>
      <c r="REB5" s="152"/>
      <c r="REC5" s="152"/>
      <c r="RED5" s="152"/>
      <c r="REE5" s="152"/>
      <c r="REF5" s="152"/>
      <c r="REG5" s="152"/>
      <c r="REH5" s="152"/>
      <c r="REI5" s="152"/>
      <c r="REJ5" s="152"/>
      <c r="REK5" s="152"/>
      <c r="REL5" s="152"/>
      <c r="REM5" s="152"/>
      <c r="REN5" s="152"/>
      <c r="REO5" s="152"/>
      <c r="REP5" s="152"/>
      <c r="REQ5" s="152"/>
      <c r="RER5" s="152"/>
      <c r="RES5" s="152"/>
      <c r="RET5" s="152"/>
      <c r="REU5" s="152"/>
      <c r="REV5" s="152"/>
      <c r="REW5" s="152"/>
      <c r="REX5" s="152"/>
      <c r="REY5" s="152"/>
      <c r="REZ5" s="152"/>
      <c r="RFA5" s="152"/>
      <c r="RFB5" s="152"/>
      <c r="RFC5" s="152"/>
      <c r="RFD5" s="152"/>
      <c r="RFE5" s="152"/>
      <c r="RFF5" s="152"/>
      <c r="RFG5" s="152"/>
      <c r="RFH5" s="152"/>
      <c r="RFI5" s="152"/>
      <c r="RFJ5" s="152"/>
      <c r="RFK5" s="152"/>
      <c r="RFL5" s="152"/>
      <c r="RFM5" s="152"/>
      <c r="RFN5" s="152"/>
      <c r="RFO5" s="152"/>
      <c r="RFP5" s="152"/>
      <c r="RFQ5" s="152"/>
      <c r="RFR5" s="152"/>
      <c r="RFS5" s="152"/>
      <c r="RFT5" s="152"/>
      <c r="RFU5" s="152"/>
      <c r="RFV5" s="152"/>
      <c r="RFW5" s="152"/>
      <c r="RFX5" s="152"/>
      <c r="RFY5" s="152"/>
      <c r="RFZ5" s="152"/>
      <c r="RGA5" s="152"/>
      <c r="RGB5" s="152"/>
      <c r="RGC5" s="152"/>
      <c r="RGD5" s="152"/>
      <c r="RGE5" s="152"/>
      <c r="RGF5" s="152"/>
      <c r="RGG5" s="152"/>
      <c r="RGH5" s="152"/>
      <c r="RGI5" s="152"/>
      <c r="RGJ5" s="152"/>
      <c r="RGK5" s="152"/>
      <c r="RGL5" s="152"/>
      <c r="RGM5" s="152"/>
      <c r="RGN5" s="152"/>
      <c r="RGO5" s="152"/>
      <c r="RGP5" s="152"/>
      <c r="RGQ5" s="152"/>
      <c r="RGR5" s="152"/>
      <c r="RGS5" s="152"/>
      <c r="RGT5" s="152"/>
      <c r="RGU5" s="152"/>
      <c r="RGV5" s="152"/>
      <c r="RGW5" s="152"/>
      <c r="RGX5" s="152"/>
      <c r="RGY5" s="152"/>
      <c r="RGZ5" s="152"/>
      <c r="RHA5" s="152"/>
      <c r="RHB5" s="152"/>
      <c r="RHC5" s="152"/>
      <c r="RHD5" s="152"/>
      <c r="RHE5" s="152"/>
      <c r="RHF5" s="152"/>
      <c r="RHG5" s="152"/>
      <c r="RHH5" s="152"/>
      <c r="RHI5" s="152"/>
      <c r="RHJ5" s="152"/>
      <c r="RHK5" s="152"/>
      <c r="RHL5" s="152"/>
      <c r="RHM5" s="152"/>
      <c r="RHN5" s="152"/>
      <c r="RHO5" s="152"/>
      <c r="RHP5" s="152"/>
      <c r="RHQ5" s="152"/>
      <c r="RHR5" s="152"/>
      <c r="RHS5" s="152"/>
      <c r="RHT5" s="152"/>
      <c r="RHU5" s="152"/>
      <c r="RHV5" s="152"/>
      <c r="RHW5" s="152"/>
      <c r="RHX5" s="152"/>
      <c r="RHY5" s="152"/>
      <c r="RHZ5" s="152"/>
      <c r="RIA5" s="152"/>
      <c r="RIB5" s="152"/>
      <c r="RIC5" s="152"/>
      <c r="RID5" s="152"/>
      <c r="RIE5" s="152"/>
      <c r="RIF5" s="152"/>
      <c r="RIG5" s="152"/>
      <c r="RIH5" s="152"/>
      <c r="RII5" s="152"/>
      <c r="RIJ5" s="152"/>
      <c r="RIK5" s="152"/>
      <c r="RIL5" s="152"/>
      <c r="RIM5" s="152"/>
      <c r="RIN5" s="152"/>
      <c r="RIO5" s="152"/>
      <c r="RIP5" s="152"/>
      <c r="RIQ5" s="152"/>
      <c r="RIR5" s="152"/>
      <c r="RIS5" s="152"/>
      <c r="RIT5" s="152"/>
      <c r="RIU5" s="152"/>
      <c r="RIV5" s="152"/>
      <c r="RIW5" s="152"/>
      <c r="RIX5" s="152"/>
      <c r="RIY5" s="152"/>
      <c r="RIZ5" s="152"/>
      <c r="RJA5" s="152"/>
      <c r="RJB5" s="152"/>
      <c r="RJC5" s="152"/>
      <c r="RJD5" s="152"/>
      <c r="RJE5" s="152"/>
      <c r="RJF5" s="152"/>
      <c r="RJG5" s="152"/>
      <c r="RJH5" s="152"/>
      <c r="RJI5" s="152"/>
      <c r="RJJ5" s="152"/>
      <c r="RJK5" s="152"/>
      <c r="RJL5" s="152"/>
      <c r="RJM5" s="152"/>
      <c r="RJN5" s="152"/>
      <c r="RJO5" s="152"/>
      <c r="RJP5" s="152"/>
      <c r="RJQ5" s="152"/>
      <c r="RJR5" s="152"/>
      <c r="RJS5" s="152"/>
      <c r="RJT5" s="152"/>
      <c r="RJU5" s="152"/>
      <c r="RJV5" s="152"/>
      <c r="RJW5" s="152"/>
      <c r="RJX5" s="152"/>
      <c r="RJY5" s="152"/>
      <c r="RJZ5" s="152"/>
      <c r="RKA5" s="152"/>
      <c r="RKB5" s="152"/>
      <c r="RKC5" s="152"/>
      <c r="RKD5" s="152"/>
      <c r="RKE5" s="152"/>
      <c r="RKF5" s="152"/>
      <c r="RKG5" s="152"/>
      <c r="RKH5" s="152"/>
      <c r="RKI5" s="152"/>
      <c r="RKJ5" s="152"/>
      <c r="RKK5" s="152"/>
      <c r="RKL5" s="152"/>
      <c r="RKM5" s="152"/>
      <c r="RKN5" s="152"/>
      <c r="RKO5" s="152"/>
      <c r="RKP5" s="152"/>
      <c r="RKQ5" s="152"/>
      <c r="RKR5" s="152"/>
      <c r="RKS5" s="152"/>
      <c r="RKT5" s="152"/>
      <c r="RKU5" s="152"/>
      <c r="RKV5" s="152"/>
      <c r="RKW5" s="152"/>
      <c r="RKX5" s="152"/>
      <c r="RKY5" s="152"/>
      <c r="RKZ5" s="152"/>
      <c r="RLA5" s="152"/>
      <c r="RLB5" s="152"/>
      <c r="RLC5" s="152"/>
      <c r="RLD5" s="152"/>
      <c r="RLE5" s="152"/>
      <c r="RLF5" s="152"/>
      <c r="RLG5" s="152"/>
      <c r="RLH5" s="152"/>
      <c r="RLI5" s="152"/>
      <c r="RLJ5" s="152"/>
      <c r="RLK5" s="152"/>
      <c r="RLL5" s="152"/>
      <c r="RLM5" s="152"/>
      <c r="RLN5" s="152"/>
      <c r="RLO5" s="152"/>
      <c r="RLP5" s="152"/>
      <c r="RLQ5" s="152"/>
      <c r="RLR5" s="152"/>
      <c r="RLS5" s="152"/>
      <c r="RLT5" s="152"/>
      <c r="RLU5" s="152"/>
      <c r="RLV5" s="152"/>
      <c r="RLW5" s="152"/>
      <c r="RLX5" s="152"/>
      <c r="RLY5" s="152"/>
      <c r="RLZ5" s="152"/>
      <c r="RMA5" s="152"/>
      <c r="RMB5" s="152"/>
      <c r="RMC5" s="152"/>
      <c r="RMD5" s="152"/>
      <c r="RME5" s="152"/>
      <c r="RMF5" s="152"/>
      <c r="RMG5" s="152"/>
      <c r="RMH5" s="152"/>
      <c r="RMI5" s="152"/>
      <c r="RMJ5" s="152"/>
      <c r="RMK5" s="152"/>
      <c r="RML5" s="152"/>
      <c r="RMM5" s="152"/>
      <c r="RMN5" s="152"/>
      <c r="RMO5" s="152"/>
      <c r="RMP5" s="152"/>
      <c r="RMQ5" s="152"/>
      <c r="RMR5" s="152"/>
      <c r="RMS5" s="152"/>
      <c r="RMT5" s="152"/>
      <c r="RMU5" s="152"/>
      <c r="RMV5" s="152"/>
      <c r="RMW5" s="152"/>
      <c r="RMX5" s="152"/>
      <c r="RMY5" s="152"/>
      <c r="RMZ5" s="152"/>
      <c r="RNA5" s="152"/>
      <c r="RNB5" s="152"/>
      <c r="RNC5" s="152"/>
      <c r="RND5" s="152"/>
      <c r="RNE5" s="152"/>
      <c r="RNF5" s="152"/>
      <c r="RNG5" s="152"/>
      <c r="RNH5" s="152"/>
      <c r="RNI5" s="152"/>
      <c r="RNJ5" s="152"/>
      <c r="RNK5" s="152"/>
      <c r="RNL5" s="152"/>
      <c r="RNM5" s="152"/>
      <c r="RNN5" s="152"/>
      <c r="RNO5" s="152"/>
      <c r="RNP5" s="152"/>
      <c r="RNQ5" s="152"/>
      <c r="RNR5" s="152"/>
      <c r="RNS5" s="152"/>
      <c r="RNT5" s="152"/>
      <c r="RNU5" s="152"/>
      <c r="RNV5" s="152"/>
      <c r="RNW5" s="152"/>
      <c r="RNX5" s="152"/>
      <c r="RNY5" s="152"/>
      <c r="RNZ5" s="152"/>
      <c r="ROA5" s="152"/>
      <c r="ROB5" s="152"/>
      <c r="ROC5" s="152"/>
      <c r="ROD5" s="152"/>
      <c r="ROE5" s="152"/>
      <c r="ROF5" s="152"/>
      <c r="ROG5" s="152"/>
      <c r="ROH5" s="152"/>
      <c r="ROI5" s="152"/>
      <c r="ROJ5" s="152"/>
      <c r="ROK5" s="152"/>
      <c r="ROL5" s="152"/>
      <c r="ROM5" s="152"/>
      <c r="RON5" s="152"/>
      <c r="ROO5" s="152"/>
      <c r="ROP5" s="152"/>
      <c r="ROQ5" s="152"/>
      <c r="ROR5" s="152"/>
      <c r="ROS5" s="152"/>
      <c r="ROT5" s="152"/>
      <c r="ROU5" s="152"/>
      <c r="ROV5" s="152"/>
      <c r="ROW5" s="152"/>
      <c r="ROX5" s="152"/>
      <c r="ROY5" s="152"/>
      <c r="ROZ5" s="152"/>
      <c r="RPA5" s="152"/>
      <c r="RPB5" s="152"/>
      <c r="RPC5" s="152"/>
      <c r="RPD5" s="152"/>
      <c r="RPE5" s="152"/>
      <c r="RPF5" s="152"/>
      <c r="RPG5" s="152"/>
      <c r="RPH5" s="152"/>
      <c r="RPI5" s="152"/>
      <c r="RPJ5" s="152"/>
      <c r="RPK5" s="152"/>
      <c r="RPL5" s="152"/>
      <c r="RPM5" s="152"/>
      <c r="RPN5" s="152"/>
      <c r="RPO5" s="152"/>
      <c r="RPP5" s="152"/>
      <c r="RPQ5" s="152"/>
      <c r="RPR5" s="152"/>
      <c r="RPS5" s="152"/>
      <c r="RPT5" s="152"/>
      <c r="RPU5" s="152"/>
      <c r="RPV5" s="152"/>
      <c r="RPW5" s="152"/>
      <c r="RPX5" s="152"/>
      <c r="RPY5" s="152"/>
      <c r="RPZ5" s="152"/>
      <c r="RQA5" s="152"/>
      <c r="RQB5" s="152"/>
      <c r="RQC5" s="152"/>
      <c r="RQD5" s="152"/>
      <c r="RQE5" s="152"/>
      <c r="RQF5" s="152"/>
      <c r="RQG5" s="152"/>
      <c r="RQH5" s="152"/>
      <c r="RQI5" s="152"/>
      <c r="RQJ5" s="152"/>
      <c r="RQK5" s="152"/>
      <c r="RQL5" s="152"/>
      <c r="RQM5" s="152"/>
      <c r="RQN5" s="152"/>
      <c r="RQO5" s="152"/>
      <c r="RQP5" s="152"/>
      <c r="RQQ5" s="152"/>
      <c r="RQR5" s="152"/>
      <c r="RQS5" s="152"/>
      <c r="RQT5" s="152"/>
      <c r="RQU5" s="152"/>
      <c r="RQV5" s="152"/>
      <c r="RQW5" s="152"/>
      <c r="RQX5" s="152"/>
      <c r="RQY5" s="152"/>
      <c r="RQZ5" s="152"/>
      <c r="RRA5" s="152"/>
      <c r="RRB5" s="152"/>
      <c r="RRC5" s="152"/>
      <c r="RRD5" s="152"/>
      <c r="RRE5" s="152"/>
      <c r="RRF5" s="152"/>
      <c r="RRG5" s="152"/>
      <c r="RRH5" s="152"/>
      <c r="RRI5" s="152"/>
      <c r="RRJ5" s="152"/>
      <c r="RRK5" s="152"/>
      <c r="RRL5" s="152"/>
      <c r="RRM5" s="152"/>
      <c r="RRN5" s="152"/>
      <c r="RRO5" s="152"/>
      <c r="RRP5" s="152"/>
      <c r="RRQ5" s="152"/>
      <c r="RRR5" s="152"/>
      <c r="RRS5" s="152"/>
      <c r="RRT5" s="152"/>
      <c r="RRU5" s="152"/>
      <c r="RRV5" s="152"/>
      <c r="RRW5" s="152"/>
      <c r="RRX5" s="152"/>
      <c r="RRY5" s="152"/>
      <c r="RRZ5" s="152"/>
      <c r="RSA5" s="152"/>
      <c r="RSB5" s="152"/>
      <c r="RSC5" s="152"/>
      <c r="RSD5" s="152"/>
      <c r="RSE5" s="152"/>
      <c r="RSF5" s="152"/>
      <c r="RSG5" s="152"/>
      <c r="RSH5" s="152"/>
      <c r="RSI5" s="152"/>
      <c r="RSJ5" s="152"/>
      <c r="RSK5" s="152"/>
      <c r="RSL5" s="152"/>
      <c r="RSM5" s="152"/>
      <c r="RSN5" s="152"/>
      <c r="RSO5" s="152"/>
      <c r="RSP5" s="152"/>
      <c r="RSQ5" s="152"/>
      <c r="RSR5" s="152"/>
      <c r="RSS5" s="152"/>
      <c r="RST5" s="152"/>
      <c r="RSU5" s="152"/>
      <c r="RSV5" s="152"/>
      <c r="RSW5" s="152"/>
      <c r="RSX5" s="152"/>
      <c r="RSY5" s="152"/>
      <c r="RSZ5" s="152"/>
      <c r="RTA5" s="152"/>
      <c r="RTB5" s="152"/>
      <c r="RTC5" s="152"/>
      <c r="RTD5" s="152"/>
      <c r="RTE5" s="152"/>
      <c r="RTF5" s="152"/>
      <c r="RTG5" s="152"/>
      <c r="RTH5" s="152"/>
      <c r="RTI5" s="152"/>
      <c r="RTJ5" s="152"/>
      <c r="RTK5" s="152"/>
      <c r="RTL5" s="152"/>
      <c r="RTM5" s="152"/>
      <c r="RTN5" s="152"/>
      <c r="RTO5" s="152"/>
      <c r="RTP5" s="152"/>
      <c r="RTQ5" s="152"/>
      <c r="RTR5" s="152"/>
      <c r="RTS5" s="152"/>
      <c r="RTT5" s="152"/>
      <c r="RTU5" s="152"/>
      <c r="RTV5" s="152"/>
      <c r="RTW5" s="152"/>
      <c r="RTX5" s="152"/>
      <c r="RTY5" s="152"/>
      <c r="RTZ5" s="152"/>
      <c r="RUA5" s="152"/>
      <c r="RUB5" s="152"/>
      <c r="RUC5" s="152"/>
      <c r="RUD5" s="152"/>
      <c r="RUE5" s="152"/>
      <c r="RUF5" s="152"/>
      <c r="RUG5" s="152"/>
      <c r="RUH5" s="152"/>
      <c r="RUI5" s="152"/>
      <c r="RUJ5" s="152"/>
      <c r="RUK5" s="152"/>
      <c r="RUL5" s="152"/>
      <c r="RUM5" s="152"/>
      <c r="RUN5" s="152"/>
      <c r="RUO5" s="152"/>
      <c r="RUP5" s="152"/>
      <c r="RUQ5" s="152"/>
      <c r="RUR5" s="152"/>
      <c r="RUS5" s="152"/>
      <c r="RUT5" s="152"/>
      <c r="RUU5" s="152"/>
      <c r="RUV5" s="152"/>
      <c r="RUW5" s="152"/>
      <c r="RUX5" s="152"/>
      <c r="RUY5" s="152"/>
      <c r="RUZ5" s="152"/>
      <c r="RVA5" s="152"/>
      <c r="RVB5" s="152"/>
      <c r="RVC5" s="152"/>
      <c r="RVD5" s="152"/>
      <c r="RVE5" s="152"/>
      <c r="RVF5" s="152"/>
      <c r="RVG5" s="152"/>
      <c r="RVH5" s="152"/>
      <c r="RVI5" s="152"/>
      <c r="RVJ5" s="152"/>
      <c r="RVK5" s="152"/>
      <c r="RVL5" s="152"/>
      <c r="RVM5" s="152"/>
      <c r="RVN5" s="152"/>
      <c r="RVO5" s="152"/>
      <c r="RVP5" s="152"/>
      <c r="RVQ5" s="152"/>
      <c r="RVR5" s="152"/>
      <c r="RVS5" s="152"/>
      <c r="RVT5" s="152"/>
      <c r="RVU5" s="152"/>
      <c r="RVV5" s="152"/>
      <c r="RVW5" s="152"/>
      <c r="RVX5" s="152"/>
      <c r="RVY5" s="152"/>
      <c r="RVZ5" s="152"/>
      <c r="RWA5" s="152"/>
      <c r="RWB5" s="152"/>
      <c r="RWC5" s="152"/>
      <c r="RWD5" s="152"/>
      <c r="RWE5" s="152"/>
      <c r="RWF5" s="152"/>
      <c r="RWG5" s="152"/>
      <c r="RWH5" s="152"/>
      <c r="RWI5" s="152"/>
      <c r="RWJ5" s="152"/>
      <c r="RWK5" s="152"/>
      <c r="RWL5" s="152"/>
      <c r="RWM5" s="152"/>
      <c r="RWN5" s="152"/>
      <c r="RWO5" s="152"/>
      <c r="RWP5" s="152"/>
      <c r="RWQ5" s="152"/>
      <c r="RWR5" s="152"/>
      <c r="RWS5" s="152"/>
      <c r="RWT5" s="152"/>
      <c r="RWU5" s="152"/>
      <c r="RWV5" s="152"/>
      <c r="RWW5" s="152"/>
      <c r="RWX5" s="152"/>
      <c r="RWY5" s="152"/>
      <c r="RWZ5" s="152"/>
      <c r="RXA5" s="152"/>
      <c r="RXB5" s="152"/>
      <c r="RXC5" s="152"/>
      <c r="RXD5" s="152"/>
      <c r="RXE5" s="152"/>
      <c r="RXF5" s="152"/>
      <c r="RXG5" s="152"/>
      <c r="RXH5" s="152"/>
      <c r="RXI5" s="152"/>
      <c r="RXJ5" s="152"/>
      <c r="RXK5" s="152"/>
      <c r="RXL5" s="152"/>
      <c r="RXM5" s="152"/>
      <c r="RXN5" s="152"/>
      <c r="RXO5" s="152"/>
      <c r="RXP5" s="152"/>
      <c r="RXQ5" s="152"/>
      <c r="RXR5" s="152"/>
      <c r="RXS5" s="152"/>
      <c r="RXT5" s="152"/>
      <c r="RXU5" s="152"/>
      <c r="RXV5" s="152"/>
      <c r="RXW5" s="152"/>
      <c r="RXX5" s="152"/>
      <c r="RXY5" s="152"/>
      <c r="RXZ5" s="152"/>
      <c r="RYA5" s="152"/>
      <c r="RYB5" s="152"/>
      <c r="RYC5" s="152"/>
      <c r="RYD5" s="152"/>
      <c r="RYE5" s="152"/>
      <c r="RYF5" s="152"/>
      <c r="RYG5" s="152"/>
      <c r="RYH5" s="152"/>
      <c r="RYI5" s="152"/>
      <c r="RYJ5" s="152"/>
      <c r="RYK5" s="152"/>
      <c r="RYL5" s="152"/>
      <c r="RYM5" s="152"/>
      <c r="RYN5" s="152"/>
      <c r="RYO5" s="152"/>
      <c r="RYP5" s="152"/>
      <c r="RYQ5" s="152"/>
      <c r="RYR5" s="152"/>
      <c r="RYS5" s="152"/>
      <c r="RYT5" s="152"/>
      <c r="RYU5" s="152"/>
      <c r="RYV5" s="152"/>
      <c r="RYW5" s="152"/>
      <c r="RYX5" s="152"/>
      <c r="RYY5" s="152"/>
      <c r="RYZ5" s="152"/>
      <c r="RZA5" s="152"/>
      <c r="RZB5" s="152"/>
      <c r="RZC5" s="152"/>
      <c r="RZD5" s="152"/>
      <c r="RZE5" s="152"/>
      <c r="RZF5" s="152"/>
      <c r="RZG5" s="152"/>
      <c r="RZH5" s="152"/>
      <c r="RZI5" s="152"/>
      <c r="RZJ5" s="152"/>
      <c r="RZK5" s="152"/>
      <c r="RZL5" s="152"/>
      <c r="RZM5" s="152"/>
      <c r="RZN5" s="152"/>
      <c r="RZO5" s="152"/>
      <c r="RZP5" s="152"/>
      <c r="RZQ5" s="152"/>
      <c r="RZR5" s="152"/>
      <c r="RZS5" s="152"/>
      <c r="RZT5" s="152"/>
      <c r="RZU5" s="152"/>
      <c r="RZV5" s="152"/>
      <c r="RZW5" s="152"/>
      <c r="RZX5" s="152"/>
      <c r="RZY5" s="152"/>
      <c r="RZZ5" s="152"/>
      <c r="SAA5" s="152"/>
      <c r="SAB5" s="152"/>
      <c r="SAC5" s="152"/>
      <c r="SAD5" s="152"/>
      <c r="SAE5" s="152"/>
      <c r="SAF5" s="152"/>
      <c r="SAG5" s="152"/>
      <c r="SAH5" s="152"/>
      <c r="SAI5" s="152"/>
      <c r="SAJ5" s="152"/>
      <c r="SAK5" s="152"/>
      <c r="SAL5" s="152"/>
      <c r="SAM5" s="152"/>
      <c r="SAN5" s="152"/>
      <c r="SAO5" s="152"/>
      <c r="SAP5" s="152"/>
      <c r="SAQ5" s="152"/>
      <c r="SAR5" s="152"/>
      <c r="SAS5" s="152"/>
      <c r="SAT5" s="152"/>
      <c r="SAU5" s="152"/>
      <c r="SAV5" s="152"/>
      <c r="SAW5" s="152"/>
      <c r="SAX5" s="152"/>
      <c r="SAY5" s="152"/>
      <c r="SAZ5" s="152"/>
      <c r="SBA5" s="152"/>
      <c r="SBB5" s="152"/>
      <c r="SBC5" s="152"/>
      <c r="SBD5" s="152"/>
      <c r="SBE5" s="152"/>
      <c r="SBF5" s="152"/>
      <c r="SBG5" s="152"/>
      <c r="SBH5" s="152"/>
      <c r="SBI5" s="152"/>
      <c r="SBJ5" s="152"/>
      <c r="SBK5" s="152"/>
      <c r="SBL5" s="152"/>
      <c r="SBM5" s="152"/>
      <c r="SBN5" s="152"/>
      <c r="SBO5" s="152"/>
      <c r="SBP5" s="152"/>
      <c r="SBQ5" s="152"/>
      <c r="SBR5" s="152"/>
      <c r="SBS5" s="152"/>
      <c r="SBT5" s="152"/>
      <c r="SBU5" s="152"/>
      <c r="SBV5" s="152"/>
      <c r="SBW5" s="152"/>
      <c r="SBX5" s="152"/>
      <c r="SBY5" s="152"/>
      <c r="SBZ5" s="152"/>
      <c r="SCA5" s="152"/>
      <c r="SCB5" s="152"/>
      <c r="SCC5" s="152"/>
      <c r="SCD5" s="152"/>
      <c r="SCE5" s="152"/>
      <c r="SCF5" s="152"/>
      <c r="SCG5" s="152"/>
      <c r="SCH5" s="152"/>
      <c r="SCI5" s="152"/>
      <c r="SCJ5" s="152"/>
      <c r="SCK5" s="152"/>
      <c r="SCL5" s="152"/>
      <c r="SCM5" s="152"/>
      <c r="SCN5" s="152"/>
      <c r="SCO5" s="152"/>
      <c r="SCP5" s="152"/>
      <c r="SCQ5" s="152"/>
      <c r="SCR5" s="152"/>
      <c r="SCS5" s="152"/>
      <c r="SCT5" s="152"/>
      <c r="SCU5" s="152"/>
      <c r="SCV5" s="152"/>
      <c r="SCW5" s="152"/>
      <c r="SCX5" s="152"/>
      <c r="SCY5" s="152"/>
      <c r="SCZ5" s="152"/>
      <c r="SDA5" s="152"/>
      <c r="SDB5" s="152"/>
      <c r="SDC5" s="152"/>
      <c r="SDD5" s="152"/>
      <c r="SDE5" s="152"/>
      <c r="SDF5" s="152"/>
      <c r="SDG5" s="152"/>
      <c r="SDH5" s="152"/>
      <c r="SDI5" s="152"/>
      <c r="SDJ5" s="152"/>
      <c r="SDK5" s="152"/>
      <c r="SDL5" s="152"/>
      <c r="SDM5" s="152"/>
      <c r="SDN5" s="152"/>
      <c r="SDO5" s="152"/>
      <c r="SDP5" s="152"/>
      <c r="SDQ5" s="152"/>
      <c r="SDR5" s="152"/>
      <c r="SDS5" s="152"/>
      <c r="SDT5" s="152"/>
      <c r="SDU5" s="152"/>
      <c r="SDV5" s="152"/>
      <c r="SDW5" s="152"/>
      <c r="SDX5" s="152"/>
      <c r="SDY5" s="152"/>
      <c r="SDZ5" s="152"/>
      <c r="SEA5" s="152"/>
      <c r="SEB5" s="152"/>
      <c r="SEC5" s="152"/>
      <c r="SED5" s="152"/>
      <c r="SEE5" s="152"/>
      <c r="SEF5" s="152"/>
      <c r="SEG5" s="152"/>
      <c r="SEH5" s="152"/>
      <c r="SEI5" s="152"/>
      <c r="SEJ5" s="152"/>
      <c r="SEK5" s="152"/>
      <c r="SEL5" s="152"/>
      <c r="SEM5" s="152"/>
      <c r="SEN5" s="152"/>
      <c r="SEO5" s="152"/>
      <c r="SEP5" s="152"/>
      <c r="SEQ5" s="152"/>
      <c r="SER5" s="152"/>
      <c r="SES5" s="152"/>
      <c r="SET5" s="152"/>
      <c r="SEU5" s="152"/>
      <c r="SEV5" s="152"/>
      <c r="SEW5" s="152"/>
      <c r="SEX5" s="152"/>
      <c r="SEY5" s="152"/>
      <c r="SEZ5" s="152"/>
      <c r="SFA5" s="152"/>
      <c r="SFB5" s="152"/>
      <c r="SFC5" s="152"/>
      <c r="SFD5" s="152"/>
      <c r="SFE5" s="152"/>
      <c r="SFF5" s="152"/>
      <c r="SFG5" s="152"/>
      <c r="SFH5" s="152"/>
      <c r="SFI5" s="152"/>
      <c r="SFJ5" s="152"/>
      <c r="SFK5" s="152"/>
      <c r="SFL5" s="152"/>
      <c r="SFM5" s="152"/>
      <c r="SFN5" s="152"/>
      <c r="SFO5" s="152"/>
      <c r="SFP5" s="152"/>
      <c r="SFQ5" s="152"/>
      <c r="SFR5" s="152"/>
      <c r="SFS5" s="152"/>
      <c r="SFT5" s="152"/>
      <c r="SFU5" s="152"/>
      <c r="SFV5" s="152"/>
      <c r="SFW5" s="152"/>
      <c r="SFX5" s="152"/>
      <c r="SFY5" s="152"/>
      <c r="SFZ5" s="152"/>
      <c r="SGA5" s="152"/>
      <c r="SGB5" s="152"/>
      <c r="SGC5" s="152"/>
      <c r="SGD5" s="152"/>
      <c r="SGE5" s="152"/>
      <c r="SGF5" s="152"/>
      <c r="SGG5" s="152"/>
      <c r="SGH5" s="152"/>
      <c r="SGI5" s="152"/>
      <c r="SGJ5" s="152"/>
      <c r="SGK5" s="152"/>
      <c r="SGL5" s="152"/>
      <c r="SGM5" s="152"/>
      <c r="SGN5" s="152"/>
      <c r="SGO5" s="152"/>
      <c r="SGP5" s="152"/>
      <c r="SGQ5" s="152"/>
      <c r="SGR5" s="152"/>
      <c r="SGS5" s="152"/>
      <c r="SGT5" s="152"/>
      <c r="SGU5" s="152"/>
      <c r="SGV5" s="152"/>
      <c r="SGW5" s="152"/>
      <c r="SGX5" s="152"/>
      <c r="SGY5" s="152"/>
      <c r="SGZ5" s="152"/>
      <c r="SHA5" s="152"/>
      <c r="SHB5" s="152"/>
      <c r="SHC5" s="152"/>
      <c r="SHD5" s="152"/>
      <c r="SHE5" s="152"/>
      <c r="SHF5" s="152"/>
      <c r="SHG5" s="152"/>
      <c r="SHH5" s="152"/>
      <c r="SHI5" s="152"/>
      <c r="SHJ5" s="152"/>
      <c r="SHK5" s="152"/>
      <c r="SHL5" s="152"/>
      <c r="SHM5" s="152"/>
      <c r="SHN5" s="152"/>
      <c r="SHO5" s="152"/>
      <c r="SHP5" s="152"/>
      <c r="SHQ5" s="152"/>
      <c r="SHR5" s="152"/>
      <c r="SHS5" s="152"/>
      <c r="SHT5" s="152"/>
      <c r="SHU5" s="152"/>
      <c r="SHV5" s="152"/>
      <c r="SHW5" s="152"/>
      <c r="SHX5" s="152"/>
      <c r="SHY5" s="152"/>
      <c r="SHZ5" s="152"/>
      <c r="SIA5" s="152"/>
      <c r="SIB5" s="152"/>
      <c r="SIC5" s="152"/>
      <c r="SID5" s="152"/>
      <c r="SIE5" s="152"/>
      <c r="SIF5" s="152"/>
      <c r="SIG5" s="152"/>
      <c r="SIH5" s="152"/>
      <c r="SII5" s="152"/>
      <c r="SIJ5" s="152"/>
      <c r="SIK5" s="152"/>
      <c r="SIL5" s="152"/>
      <c r="SIM5" s="152"/>
      <c r="SIN5" s="152"/>
      <c r="SIO5" s="152"/>
      <c r="SIP5" s="152"/>
      <c r="SIQ5" s="152"/>
      <c r="SIR5" s="152"/>
      <c r="SIS5" s="152"/>
      <c r="SIT5" s="152"/>
      <c r="SIU5" s="152"/>
      <c r="SIV5" s="152"/>
      <c r="SIW5" s="152"/>
      <c r="SIX5" s="152"/>
      <c r="SIY5" s="152"/>
      <c r="SIZ5" s="152"/>
      <c r="SJA5" s="152"/>
      <c r="SJB5" s="152"/>
      <c r="SJC5" s="152"/>
      <c r="SJD5" s="152"/>
      <c r="SJE5" s="152"/>
      <c r="SJF5" s="152"/>
      <c r="SJG5" s="152"/>
      <c r="SJH5" s="152"/>
      <c r="SJI5" s="152"/>
      <c r="SJJ5" s="152"/>
      <c r="SJK5" s="152"/>
      <c r="SJL5" s="152"/>
      <c r="SJM5" s="152"/>
      <c r="SJN5" s="152"/>
      <c r="SJO5" s="152"/>
      <c r="SJP5" s="152"/>
      <c r="SJQ5" s="152"/>
      <c r="SJR5" s="152"/>
      <c r="SJS5" s="152"/>
      <c r="SJT5" s="152"/>
      <c r="SJU5" s="152"/>
      <c r="SJV5" s="152"/>
      <c r="SJW5" s="152"/>
      <c r="SJX5" s="152"/>
      <c r="SJY5" s="152"/>
      <c r="SJZ5" s="152"/>
      <c r="SKA5" s="152"/>
      <c r="SKB5" s="152"/>
      <c r="SKC5" s="152"/>
      <c r="SKD5" s="152"/>
      <c r="SKE5" s="152"/>
      <c r="SKF5" s="152"/>
      <c r="SKG5" s="152"/>
      <c r="SKH5" s="152"/>
      <c r="SKI5" s="152"/>
      <c r="SKJ5" s="152"/>
      <c r="SKK5" s="152"/>
      <c r="SKL5" s="152"/>
      <c r="SKM5" s="152"/>
      <c r="SKN5" s="152"/>
      <c r="SKO5" s="152"/>
      <c r="SKP5" s="152"/>
      <c r="SKQ5" s="152"/>
      <c r="SKR5" s="152"/>
      <c r="SKS5" s="152"/>
      <c r="SKT5" s="152"/>
      <c r="SKU5" s="152"/>
      <c r="SKV5" s="152"/>
      <c r="SKW5" s="152"/>
      <c r="SKX5" s="152"/>
      <c r="SKY5" s="152"/>
      <c r="SKZ5" s="152"/>
      <c r="SLA5" s="152"/>
      <c r="SLB5" s="152"/>
      <c r="SLC5" s="152"/>
      <c r="SLD5" s="152"/>
      <c r="SLE5" s="152"/>
      <c r="SLF5" s="152"/>
      <c r="SLG5" s="152"/>
      <c r="SLH5" s="152"/>
      <c r="SLI5" s="152"/>
      <c r="SLJ5" s="152"/>
      <c r="SLK5" s="152"/>
      <c r="SLL5" s="152"/>
      <c r="SLM5" s="152"/>
      <c r="SLN5" s="152"/>
      <c r="SLO5" s="152"/>
      <c r="SLP5" s="152"/>
      <c r="SLQ5" s="152"/>
      <c r="SLR5" s="152"/>
      <c r="SLS5" s="152"/>
      <c r="SLT5" s="152"/>
      <c r="SLU5" s="152"/>
      <c r="SLV5" s="152"/>
      <c r="SLW5" s="152"/>
      <c r="SLX5" s="152"/>
      <c r="SLY5" s="152"/>
      <c r="SLZ5" s="152"/>
      <c r="SMA5" s="152"/>
      <c r="SMB5" s="152"/>
      <c r="SMC5" s="152"/>
      <c r="SMD5" s="152"/>
      <c r="SME5" s="152"/>
      <c r="SMF5" s="152"/>
      <c r="SMG5" s="152"/>
      <c r="SMH5" s="152"/>
      <c r="SMI5" s="152"/>
      <c r="SMJ5" s="152"/>
      <c r="SMK5" s="152"/>
      <c r="SML5" s="152"/>
      <c r="SMM5" s="152"/>
      <c r="SMN5" s="152"/>
      <c r="SMO5" s="152"/>
      <c r="SMP5" s="152"/>
      <c r="SMQ5" s="152"/>
      <c r="SMR5" s="152"/>
      <c r="SMS5" s="152"/>
      <c r="SMT5" s="152"/>
      <c r="SMU5" s="152"/>
      <c r="SMV5" s="152"/>
      <c r="SMW5" s="152"/>
      <c r="SMX5" s="152"/>
      <c r="SMY5" s="152"/>
      <c r="SMZ5" s="152"/>
      <c r="SNA5" s="152"/>
      <c r="SNB5" s="152"/>
      <c r="SNC5" s="152"/>
      <c r="SND5" s="152"/>
      <c r="SNE5" s="152"/>
      <c r="SNF5" s="152"/>
      <c r="SNG5" s="152"/>
      <c r="SNH5" s="152"/>
      <c r="SNI5" s="152"/>
      <c r="SNJ5" s="152"/>
      <c r="SNK5" s="152"/>
      <c r="SNL5" s="152"/>
      <c r="SNM5" s="152"/>
      <c r="SNN5" s="152"/>
      <c r="SNO5" s="152"/>
      <c r="SNP5" s="152"/>
      <c r="SNQ5" s="152"/>
      <c r="SNR5" s="152"/>
      <c r="SNS5" s="152"/>
      <c r="SNT5" s="152"/>
      <c r="SNU5" s="152"/>
      <c r="SNV5" s="152"/>
      <c r="SNW5" s="152"/>
      <c r="SNX5" s="152"/>
      <c r="SNY5" s="152"/>
      <c r="SNZ5" s="152"/>
      <c r="SOA5" s="152"/>
      <c r="SOB5" s="152"/>
      <c r="SOC5" s="152"/>
      <c r="SOD5" s="152"/>
      <c r="SOE5" s="152"/>
      <c r="SOF5" s="152"/>
      <c r="SOG5" s="152"/>
      <c r="SOH5" s="152"/>
      <c r="SOI5" s="152"/>
      <c r="SOJ5" s="152"/>
      <c r="SOK5" s="152"/>
      <c r="SOL5" s="152"/>
      <c r="SOM5" s="152"/>
      <c r="SON5" s="152"/>
      <c r="SOO5" s="152"/>
      <c r="SOP5" s="152"/>
      <c r="SOQ5" s="152"/>
      <c r="SOR5" s="152"/>
      <c r="SOS5" s="152"/>
      <c r="SOT5" s="152"/>
      <c r="SOU5" s="152"/>
      <c r="SOV5" s="152"/>
      <c r="SOW5" s="152"/>
      <c r="SOX5" s="152"/>
      <c r="SOY5" s="152"/>
      <c r="SOZ5" s="152"/>
      <c r="SPA5" s="152"/>
      <c r="SPB5" s="152"/>
      <c r="SPC5" s="152"/>
      <c r="SPD5" s="152"/>
      <c r="SPE5" s="152"/>
      <c r="SPF5" s="152"/>
      <c r="SPG5" s="152"/>
      <c r="SPH5" s="152"/>
      <c r="SPI5" s="152"/>
      <c r="SPJ5" s="152"/>
      <c r="SPK5" s="152"/>
      <c r="SPL5" s="152"/>
      <c r="SPM5" s="152"/>
      <c r="SPN5" s="152"/>
      <c r="SPO5" s="152"/>
      <c r="SPP5" s="152"/>
      <c r="SPQ5" s="152"/>
      <c r="SPR5" s="152"/>
      <c r="SPS5" s="152"/>
      <c r="SPT5" s="152"/>
      <c r="SPU5" s="152"/>
      <c r="SPV5" s="152"/>
      <c r="SPW5" s="152"/>
      <c r="SPX5" s="152"/>
      <c r="SPY5" s="152"/>
      <c r="SPZ5" s="152"/>
      <c r="SQA5" s="152"/>
      <c r="SQB5" s="152"/>
      <c r="SQC5" s="152"/>
      <c r="SQD5" s="152"/>
      <c r="SQE5" s="152"/>
      <c r="SQF5" s="152"/>
      <c r="SQG5" s="152"/>
      <c r="SQH5" s="152"/>
      <c r="SQI5" s="152"/>
      <c r="SQJ5" s="152"/>
      <c r="SQK5" s="152"/>
      <c r="SQL5" s="152"/>
      <c r="SQM5" s="152"/>
      <c r="SQN5" s="152"/>
      <c r="SQO5" s="152"/>
      <c r="SQP5" s="152"/>
      <c r="SQQ5" s="152"/>
      <c r="SQR5" s="152"/>
      <c r="SQS5" s="152"/>
      <c r="SQT5" s="152"/>
      <c r="SQU5" s="152"/>
      <c r="SQV5" s="152"/>
      <c r="SQW5" s="152"/>
      <c r="SQX5" s="152"/>
      <c r="SQY5" s="152"/>
      <c r="SQZ5" s="152"/>
      <c r="SRA5" s="152"/>
      <c r="SRB5" s="152"/>
      <c r="SRC5" s="152"/>
      <c r="SRD5" s="152"/>
      <c r="SRE5" s="152"/>
      <c r="SRF5" s="152"/>
      <c r="SRG5" s="152"/>
      <c r="SRH5" s="152"/>
      <c r="SRI5" s="152"/>
      <c r="SRJ5" s="152"/>
      <c r="SRK5" s="152"/>
      <c r="SRL5" s="152"/>
      <c r="SRM5" s="152"/>
      <c r="SRN5" s="152"/>
      <c r="SRO5" s="152"/>
      <c r="SRP5" s="152"/>
      <c r="SRQ5" s="152"/>
      <c r="SRR5" s="152"/>
      <c r="SRS5" s="152"/>
      <c r="SRT5" s="152"/>
      <c r="SRU5" s="152"/>
      <c r="SRV5" s="152"/>
      <c r="SRW5" s="152"/>
      <c r="SRX5" s="152"/>
      <c r="SRY5" s="152"/>
      <c r="SRZ5" s="152"/>
      <c r="SSA5" s="152"/>
      <c r="SSB5" s="152"/>
      <c r="SSC5" s="152"/>
      <c r="SSD5" s="152"/>
      <c r="SSE5" s="152"/>
      <c r="SSF5" s="152"/>
      <c r="SSG5" s="152"/>
      <c r="SSH5" s="152"/>
      <c r="SSI5" s="152"/>
      <c r="SSJ5" s="152"/>
      <c r="SSK5" s="152"/>
      <c r="SSL5" s="152"/>
      <c r="SSM5" s="152"/>
      <c r="SSN5" s="152"/>
      <c r="SSO5" s="152"/>
      <c r="SSP5" s="152"/>
      <c r="SSQ5" s="152"/>
      <c r="SSR5" s="152"/>
      <c r="SSS5" s="152"/>
      <c r="SST5" s="152"/>
      <c r="SSU5" s="152"/>
      <c r="SSV5" s="152"/>
      <c r="SSW5" s="152"/>
      <c r="SSX5" s="152"/>
      <c r="SSY5" s="152"/>
      <c r="SSZ5" s="152"/>
      <c r="STA5" s="152"/>
      <c r="STB5" s="152"/>
      <c r="STC5" s="152"/>
      <c r="STD5" s="152"/>
      <c r="STE5" s="152"/>
      <c r="STF5" s="152"/>
      <c r="STG5" s="152"/>
      <c r="STH5" s="152"/>
      <c r="STI5" s="152"/>
      <c r="STJ5" s="152"/>
      <c r="STK5" s="152"/>
      <c r="STL5" s="152"/>
      <c r="STM5" s="152"/>
      <c r="STN5" s="152"/>
      <c r="STO5" s="152"/>
      <c r="STP5" s="152"/>
      <c r="STQ5" s="152"/>
      <c r="STR5" s="152"/>
      <c r="STS5" s="152"/>
      <c r="STT5" s="152"/>
      <c r="STU5" s="152"/>
      <c r="STV5" s="152"/>
      <c r="STW5" s="152"/>
      <c r="STX5" s="152"/>
      <c r="STY5" s="152"/>
      <c r="STZ5" s="152"/>
      <c r="SUA5" s="152"/>
      <c r="SUB5" s="152"/>
      <c r="SUC5" s="152"/>
      <c r="SUD5" s="152"/>
      <c r="SUE5" s="152"/>
      <c r="SUF5" s="152"/>
      <c r="SUG5" s="152"/>
      <c r="SUH5" s="152"/>
      <c r="SUI5" s="152"/>
      <c r="SUJ5" s="152"/>
      <c r="SUK5" s="152"/>
      <c r="SUL5" s="152"/>
      <c r="SUM5" s="152"/>
      <c r="SUN5" s="152"/>
      <c r="SUO5" s="152"/>
      <c r="SUP5" s="152"/>
      <c r="SUQ5" s="152"/>
      <c r="SUR5" s="152"/>
      <c r="SUS5" s="152"/>
      <c r="SUT5" s="152"/>
      <c r="SUU5" s="152"/>
      <c r="SUV5" s="152"/>
      <c r="SUW5" s="152"/>
      <c r="SUX5" s="152"/>
      <c r="SUY5" s="152"/>
      <c r="SUZ5" s="152"/>
      <c r="SVA5" s="152"/>
      <c r="SVB5" s="152"/>
      <c r="SVC5" s="152"/>
      <c r="SVD5" s="152"/>
      <c r="SVE5" s="152"/>
      <c r="SVF5" s="152"/>
      <c r="SVG5" s="152"/>
      <c r="SVH5" s="152"/>
      <c r="SVI5" s="152"/>
      <c r="SVJ5" s="152"/>
      <c r="SVK5" s="152"/>
      <c r="SVL5" s="152"/>
      <c r="SVM5" s="152"/>
      <c r="SVN5" s="152"/>
      <c r="SVO5" s="152"/>
      <c r="SVP5" s="152"/>
      <c r="SVQ5" s="152"/>
      <c r="SVR5" s="152"/>
      <c r="SVS5" s="152"/>
      <c r="SVT5" s="152"/>
      <c r="SVU5" s="152"/>
      <c r="SVV5" s="152"/>
      <c r="SVW5" s="152"/>
      <c r="SVX5" s="152"/>
      <c r="SVY5" s="152"/>
      <c r="SVZ5" s="152"/>
      <c r="SWA5" s="152"/>
      <c r="SWB5" s="152"/>
      <c r="SWC5" s="152"/>
      <c r="SWD5" s="152"/>
      <c r="SWE5" s="152"/>
      <c r="SWF5" s="152"/>
      <c r="SWG5" s="152"/>
      <c r="SWH5" s="152"/>
      <c r="SWI5" s="152"/>
      <c r="SWJ5" s="152"/>
      <c r="SWK5" s="152"/>
      <c r="SWL5" s="152"/>
      <c r="SWM5" s="152"/>
      <c r="SWN5" s="152"/>
      <c r="SWO5" s="152"/>
      <c r="SWP5" s="152"/>
      <c r="SWQ5" s="152"/>
      <c r="SWR5" s="152"/>
      <c r="SWS5" s="152"/>
      <c r="SWT5" s="152"/>
      <c r="SWU5" s="152"/>
      <c r="SWV5" s="152"/>
      <c r="SWW5" s="152"/>
      <c r="SWX5" s="152"/>
      <c r="SWY5" s="152"/>
      <c r="SWZ5" s="152"/>
      <c r="SXA5" s="152"/>
      <c r="SXB5" s="152"/>
      <c r="SXC5" s="152"/>
      <c r="SXD5" s="152"/>
      <c r="SXE5" s="152"/>
      <c r="SXF5" s="152"/>
      <c r="SXG5" s="152"/>
      <c r="SXH5" s="152"/>
      <c r="SXI5" s="152"/>
      <c r="SXJ5" s="152"/>
      <c r="SXK5" s="152"/>
      <c r="SXL5" s="152"/>
      <c r="SXM5" s="152"/>
      <c r="SXN5" s="152"/>
      <c r="SXO5" s="152"/>
      <c r="SXP5" s="152"/>
      <c r="SXQ5" s="152"/>
      <c r="SXR5" s="152"/>
      <c r="SXS5" s="152"/>
      <c r="SXT5" s="152"/>
      <c r="SXU5" s="152"/>
      <c r="SXV5" s="152"/>
      <c r="SXW5" s="152"/>
      <c r="SXX5" s="152"/>
      <c r="SXY5" s="152"/>
      <c r="SXZ5" s="152"/>
      <c r="SYA5" s="152"/>
      <c r="SYB5" s="152"/>
      <c r="SYC5" s="152"/>
      <c r="SYD5" s="152"/>
      <c r="SYE5" s="152"/>
      <c r="SYF5" s="152"/>
      <c r="SYG5" s="152"/>
      <c r="SYH5" s="152"/>
      <c r="SYI5" s="152"/>
      <c r="SYJ5" s="152"/>
      <c r="SYK5" s="152"/>
      <c r="SYL5" s="152"/>
      <c r="SYM5" s="152"/>
      <c r="SYN5" s="152"/>
      <c r="SYO5" s="152"/>
      <c r="SYP5" s="152"/>
      <c r="SYQ5" s="152"/>
      <c r="SYR5" s="152"/>
      <c r="SYS5" s="152"/>
      <c r="SYT5" s="152"/>
      <c r="SYU5" s="152"/>
      <c r="SYV5" s="152"/>
      <c r="SYW5" s="152"/>
      <c r="SYX5" s="152"/>
      <c r="SYY5" s="152"/>
      <c r="SYZ5" s="152"/>
      <c r="SZA5" s="152"/>
      <c r="SZB5" s="152"/>
      <c r="SZC5" s="152"/>
      <c r="SZD5" s="152"/>
      <c r="SZE5" s="152"/>
      <c r="SZF5" s="152"/>
      <c r="SZG5" s="152"/>
      <c r="SZH5" s="152"/>
      <c r="SZI5" s="152"/>
      <c r="SZJ5" s="152"/>
      <c r="SZK5" s="152"/>
      <c r="SZL5" s="152"/>
      <c r="SZM5" s="152"/>
      <c r="SZN5" s="152"/>
      <c r="SZO5" s="152"/>
      <c r="SZP5" s="152"/>
      <c r="SZQ5" s="152"/>
      <c r="SZR5" s="152"/>
      <c r="SZS5" s="152"/>
      <c r="SZT5" s="152"/>
      <c r="SZU5" s="152"/>
      <c r="SZV5" s="152"/>
      <c r="SZW5" s="152"/>
      <c r="SZX5" s="152"/>
      <c r="SZY5" s="152"/>
      <c r="SZZ5" s="152"/>
      <c r="TAA5" s="152"/>
      <c r="TAB5" s="152"/>
      <c r="TAC5" s="152"/>
      <c r="TAD5" s="152"/>
      <c r="TAE5" s="152"/>
      <c r="TAF5" s="152"/>
      <c r="TAG5" s="152"/>
      <c r="TAH5" s="152"/>
      <c r="TAI5" s="152"/>
      <c r="TAJ5" s="152"/>
      <c r="TAK5" s="152"/>
      <c r="TAL5" s="152"/>
      <c r="TAM5" s="152"/>
      <c r="TAN5" s="152"/>
      <c r="TAO5" s="152"/>
      <c r="TAP5" s="152"/>
      <c r="TAQ5" s="152"/>
      <c r="TAR5" s="152"/>
      <c r="TAS5" s="152"/>
      <c r="TAT5" s="152"/>
      <c r="TAU5" s="152"/>
      <c r="TAV5" s="152"/>
      <c r="TAW5" s="152"/>
      <c r="TAX5" s="152"/>
      <c r="TAY5" s="152"/>
      <c r="TAZ5" s="152"/>
      <c r="TBA5" s="152"/>
      <c r="TBB5" s="152"/>
      <c r="TBC5" s="152"/>
      <c r="TBD5" s="152"/>
      <c r="TBE5" s="152"/>
      <c r="TBF5" s="152"/>
      <c r="TBG5" s="152"/>
      <c r="TBH5" s="152"/>
      <c r="TBI5" s="152"/>
      <c r="TBJ5" s="152"/>
      <c r="TBK5" s="152"/>
      <c r="TBL5" s="152"/>
      <c r="TBM5" s="152"/>
      <c r="TBN5" s="152"/>
      <c r="TBO5" s="152"/>
      <c r="TBP5" s="152"/>
      <c r="TBQ5" s="152"/>
      <c r="TBR5" s="152"/>
      <c r="TBS5" s="152"/>
      <c r="TBT5" s="152"/>
      <c r="TBU5" s="152"/>
      <c r="TBV5" s="152"/>
      <c r="TBW5" s="152"/>
      <c r="TBX5" s="152"/>
      <c r="TBY5" s="152"/>
      <c r="TBZ5" s="152"/>
      <c r="TCA5" s="152"/>
      <c r="TCB5" s="152"/>
      <c r="TCC5" s="152"/>
      <c r="TCD5" s="152"/>
      <c r="TCE5" s="152"/>
      <c r="TCF5" s="152"/>
      <c r="TCG5" s="152"/>
      <c r="TCH5" s="152"/>
      <c r="TCI5" s="152"/>
      <c r="TCJ5" s="152"/>
      <c r="TCK5" s="152"/>
      <c r="TCL5" s="152"/>
      <c r="TCM5" s="152"/>
      <c r="TCN5" s="152"/>
      <c r="TCO5" s="152"/>
      <c r="TCP5" s="152"/>
      <c r="TCQ5" s="152"/>
      <c r="TCR5" s="152"/>
      <c r="TCS5" s="152"/>
      <c r="TCT5" s="152"/>
      <c r="TCU5" s="152"/>
      <c r="TCV5" s="152"/>
      <c r="TCW5" s="152"/>
      <c r="TCX5" s="152"/>
      <c r="TCY5" s="152"/>
      <c r="TCZ5" s="152"/>
      <c r="TDA5" s="152"/>
      <c r="TDB5" s="152"/>
      <c r="TDC5" s="152"/>
      <c r="TDD5" s="152"/>
      <c r="TDE5" s="152"/>
      <c r="TDF5" s="152"/>
      <c r="TDG5" s="152"/>
      <c r="TDH5" s="152"/>
      <c r="TDI5" s="152"/>
      <c r="TDJ5" s="152"/>
      <c r="TDK5" s="152"/>
      <c r="TDL5" s="152"/>
      <c r="TDM5" s="152"/>
      <c r="TDN5" s="152"/>
      <c r="TDO5" s="152"/>
      <c r="TDP5" s="152"/>
      <c r="TDQ5" s="152"/>
      <c r="TDR5" s="152"/>
      <c r="TDS5" s="152"/>
      <c r="TDT5" s="152"/>
      <c r="TDU5" s="152"/>
      <c r="TDV5" s="152"/>
      <c r="TDW5" s="152"/>
      <c r="TDX5" s="152"/>
      <c r="TDY5" s="152"/>
      <c r="TDZ5" s="152"/>
      <c r="TEA5" s="152"/>
      <c r="TEB5" s="152"/>
      <c r="TEC5" s="152"/>
      <c r="TED5" s="152"/>
      <c r="TEE5" s="152"/>
      <c r="TEF5" s="152"/>
      <c r="TEG5" s="152"/>
      <c r="TEH5" s="152"/>
      <c r="TEI5" s="152"/>
      <c r="TEJ5" s="152"/>
      <c r="TEK5" s="152"/>
      <c r="TEL5" s="152"/>
      <c r="TEM5" s="152"/>
      <c r="TEN5" s="152"/>
      <c r="TEO5" s="152"/>
      <c r="TEP5" s="152"/>
      <c r="TEQ5" s="152"/>
      <c r="TER5" s="152"/>
      <c r="TES5" s="152"/>
      <c r="TET5" s="152"/>
      <c r="TEU5" s="152"/>
      <c r="TEV5" s="152"/>
      <c r="TEW5" s="152"/>
      <c r="TEX5" s="152"/>
      <c r="TEY5" s="152"/>
      <c r="TEZ5" s="152"/>
      <c r="TFA5" s="152"/>
      <c r="TFB5" s="152"/>
      <c r="TFC5" s="152"/>
      <c r="TFD5" s="152"/>
      <c r="TFE5" s="152"/>
      <c r="TFF5" s="152"/>
      <c r="TFG5" s="152"/>
      <c r="TFH5" s="152"/>
      <c r="TFI5" s="152"/>
      <c r="TFJ5" s="152"/>
      <c r="TFK5" s="152"/>
      <c r="TFL5" s="152"/>
      <c r="TFM5" s="152"/>
      <c r="TFN5" s="152"/>
      <c r="TFO5" s="152"/>
      <c r="TFP5" s="152"/>
      <c r="TFQ5" s="152"/>
      <c r="TFR5" s="152"/>
      <c r="TFS5" s="152"/>
      <c r="TFT5" s="152"/>
      <c r="TFU5" s="152"/>
      <c r="TFV5" s="152"/>
      <c r="TFW5" s="152"/>
      <c r="TFX5" s="152"/>
      <c r="TFY5" s="152"/>
      <c r="TFZ5" s="152"/>
      <c r="TGA5" s="152"/>
      <c r="TGB5" s="152"/>
      <c r="TGC5" s="152"/>
      <c r="TGD5" s="152"/>
      <c r="TGE5" s="152"/>
      <c r="TGF5" s="152"/>
      <c r="TGG5" s="152"/>
      <c r="TGH5" s="152"/>
      <c r="TGI5" s="152"/>
      <c r="TGJ5" s="152"/>
      <c r="TGK5" s="152"/>
      <c r="TGL5" s="152"/>
      <c r="TGM5" s="152"/>
      <c r="TGN5" s="152"/>
      <c r="TGO5" s="152"/>
      <c r="TGP5" s="152"/>
      <c r="TGQ5" s="152"/>
      <c r="TGR5" s="152"/>
      <c r="TGS5" s="152"/>
      <c r="TGT5" s="152"/>
      <c r="TGU5" s="152"/>
      <c r="TGV5" s="152"/>
      <c r="TGW5" s="152"/>
      <c r="TGX5" s="152"/>
      <c r="TGY5" s="152"/>
      <c r="TGZ5" s="152"/>
      <c r="THA5" s="152"/>
      <c r="THB5" s="152"/>
      <c r="THC5" s="152"/>
      <c r="THD5" s="152"/>
      <c r="THE5" s="152"/>
      <c r="THF5" s="152"/>
      <c r="THG5" s="152"/>
      <c r="THH5" s="152"/>
      <c r="THI5" s="152"/>
      <c r="THJ5" s="152"/>
      <c r="THK5" s="152"/>
      <c r="THL5" s="152"/>
      <c r="THM5" s="152"/>
      <c r="THN5" s="152"/>
      <c r="THO5" s="152"/>
      <c r="THP5" s="152"/>
      <c r="THQ5" s="152"/>
      <c r="THR5" s="152"/>
      <c r="THS5" s="152"/>
      <c r="THT5" s="152"/>
      <c r="THU5" s="152"/>
      <c r="THV5" s="152"/>
      <c r="THW5" s="152"/>
      <c r="THX5" s="152"/>
      <c r="THY5" s="152"/>
      <c r="THZ5" s="152"/>
      <c r="TIA5" s="152"/>
      <c r="TIB5" s="152"/>
      <c r="TIC5" s="152"/>
      <c r="TID5" s="152"/>
      <c r="TIE5" s="152"/>
      <c r="TIF5" s="152"/>
      <c r="TIG5" s="152"/>
      <c r="TIH5" s="152"/>
      <c r="TII5" s="152"/>
      <c r="TIJ5" s="152"/>
      <c r="TIK5" s="152"/>
      <c r="TIL5" s="152"/>
      <c r="TIM5" s="152"/>
      <c r="TIN5" s="152"/>
      <c r="TIO5" s="152"/>
      <c r="TIP5" s="152"/>
      <c r="TIQ5" s="152"/>
      <c r="TIR5" s="152"/>
      <c r="TIS5" s="152"/>
      <c r="TIT5" s="152"/>
      <c r="TIU5" s="152"/>
      <c r="TIV5" s="152"/>
      <c r="TIW5" s="152"/>
      <c r="TIX5" s="152"/>
      <c r="TIY5" s="152"/>
      <c r="TIZ5" s="152"/>
      <c r="TJA5" s="152"/>
      <c r="TJB5" s="152"/>
      <c r="TJC5" s="152"/>
      <c r="TJD5" s="152"/>
      <c r="TJE5" s="152"/>
      <c r="TJF5" s="152"/>
      <c r="TJG5" s="152"/>
      <c r="TJH5" s="152"/>
      <c r="TJI5" s="152"/>
      <c r="TJJ5" s="152"/>
      <c r="TJK5" s="152"/>
      <c r="TJL5" s="152"/>
      <c r="TJM5" s="152"/>
      <c r="TJN5" s="152"/>
      <c r="TJO5" s="152"/>
      <c r="TJP5" s="152"/>
      <c r="TJQ5" s="152"/>
      <c r="TJR5" s="152"/>
      <c r="TJS5" s="152"/>
      <c r="TJT5" s="152"/>
      <c r="TJU5" s="152"/>
      <c r="TJV5" s="152"/>
      <c r="TJW5" s="152"/>
      <c r="TJX5" s="152"/>
      <c r="TJY5" s="152"/>
      <c r="TJZ5" s="152"/>
      <c r="TKA5" s="152"/>
      <c r="TKB5" s="152"/>
      <c r="TKC5" s="152"/>
      <c r="TKD5" s="152"/>
      <c r="TKE5" s="152"/>
      <c r="TKF5" s="152"/>
      <c r="TKG5" s="152"/>
      <c r="TKH5" s="152"/>
      <c r="TKI5" s="152"/>
      <c r="TKJ5" s="152"/>
      <c r="TKK5" s="152"/>
      <c r="TKL5" s="152"/>
      <c r="TKM5" s="152"/>
      <c r="TKN5" s="152"/>
      <c r="TKO5" s="152"/>
      <c r="TKP5" s="152"/>
      <c r="TKQ5" s="152"/>
      <c r="TKR5" s="152"/>
      <c r="TKS5" s="152"/>
      <c r="TKT5" s="152"/>
      <c r="TKU5" s="152"/>
      <c r="TKV5" s="152"/>
      <c r="TKW5" s="152"/>
      <c r="TKX5" s="152"/>
      <c r="TKY5" s="152"/>
      <c r="TKZ5" s="152"/>
      <c r="TLA5" s="152"/>
      <c r="TLB5" s="152"/>
      <c r="TLC5" s="152"/>
      <c r="TLD5" s="152"/>
      <c r="TLE5" s="152"/>
      <c r="TLF5" s="152"/>
      <c r="TLG5" s="152"/>
      <c r="TLH5" s="152"/>
      <c r="TLI5" s="152"/>
      <c r="TLJ5" s="152"/>
      <c r="TLK5" s="152"/>
      <c r="TLL5" s="152"/>
      <c r="TLM5" s="152"/>
      <c r="TLN5" s="152"/>
      <c r="TLO5" s="152"/>
      <c r="TLP5" s="152"/>
      <c r="TLQ5" s="152"/>
      <c r="TLR5" s="152"/>
      <c r="TLS5" s="152"/>
      <c r="TLT5" s="152"/>
      <c r="TLU5" s="152"/>
      <c r="TLV5" s="152"/>
      <c r="TLW5" s="152"/>
      <c r="TLX5" s="152"/>
      <c r="TLY5" s="152"/>
      <c r="TLZ5" s="152"/>
      <c r="TMA5" s="152"/>
      <c r="TMB5" s="152"/>
      <c r="TMC5" s="152"/>
      <c r="TMD5" s="152"/>
      <c r="TME5" s="152"/>
      <c r="TMF5" s="152"/>
      <c r="TMG5" s="152"/>
      <c r="TMH5" s="152"/>
      <c r="TMI5" s="152"/>
      <c r="TMJ5" s="152"/>
      <c r="TMK5" s="152"/>
      <c r="TML5" s="152"/>
      <c r="TMM5" s="152"/>
      <c r="TMN5" s="152"/>
      <c r="TMO5" s="152"/>
      <c r="TMP5" s="152"/>
      <c r="TMQ5" s="152"/>
      <c r="TMR5" s="152"/>
      <c r="TMS5" s="152"/>
      <c r="TMT5" s="152"/>
      <c r="TMU5" s="152"/>
      <c r="TMV5" s="152"/>
      <c r="TMW5" s="152"/>
      <c r="TMX5" s="152"/>
      <c r="TMY5" s="152"/>
      <c r="TMZ5" s="152"/>
      <c r="TNA5" s="152"/>
      <c r="TNB5" s="152"/>
      <c r="TNC5" s="152"/>
      <c r="TND5" s="152"/>
      <c r="TNE5" s="152"/>
      <c r="TNF5" s="152"/>
      <c r="TNG5" s="152"/>
      <c r="TNH5" s="152"/>
      <c r="TNI5" s="152"/>
      <c r="TNJ5" s="152"/>
      <c r="TNK5" s="152"/>
      <c r="TNL5" s="152"/>
      <c r="TNM5" s="152"/>
      <c r="TNN5" s="152"/>
      <c r="TNO5" s="152"/>
      <c r="TNP5" s="152"/>
      <c r="TNQ5" s="152"/>
      <c r="TNR5" s="152"/>
      <c r="TNS5" s="152"/>
      <c r="TNT5" s="152"/>
      <c r="TNU5" s="152"/>
      <c r="TNV5" s="152"/>
      <c r="TNW5" s="152"/>
      <c r="TNX5" s="152"/>
      <c r="TNY5" s="152"/>
      <c r="TNZ5" s="152"/>
      <c r="TOA5" s="152"/>
      <c r="TOB5" s="152"/>
      <c r="TOC5" s="152"/>
      <c r="TOD5" s="152"/>
      <c r="TOE5" s="152"/>
      <c r="TOF5" s="152"/>
      <c r="TOG5" s="152"/>
      <c r="TOH5" s="152"/>
      <c r="TOI5" s="152"/>
      <c r="TOJ5" s="152"/>
      <c r="TOK5" s="152"/>
      <c r="TOL5" s="152"/>
      <c r="TOM5" s="152"/>
      <c r="TON5" s="152"/>
      <c r="TOO5" s="152"/>
      <c r="TOP5" s="152"/>
      <c r="TOQ5" s="152"/>
      <c r="TOR5" s="152"/>
      <c r="TOS5" s="152"/>
      <c r="TOT5" s="152"/>
      <c r="TOU5" s="152"/>
      <c r="TOV5" s="152"/>
      <c r="TOW5" s="152"/>
      <c r="TOX5" s="152"/>
      <c r="TOY5" s="152"/>
      <c r="TOZ5" s="152"/>
      <c r="TPA5" s="152"/>
      <c r="TPB5" s="152"/>
      <c r="TPC5" s="152"/>
      <c r="TPD5" s="152"/>
      <c r="TPE5" s="152"/>
      <c r="TPF5" s="152"/>
      <c r="TPG5" s="152"/>
      <c r="TPH5" s="152"/>
      <c r="TPI5" s="152"/>
      <c r="TPJ5" s="152"/>
      <c r="TPK5" s="152"/>
      <c r="TPL5" s="152"/>
      <c r="TPM5" s="152"/>
      <c r="TPN5" s="152"/>
      <c r="TPO5" s="152"/>
      <c r="TPP5" s="152"/>
      <c r="TPQ5" s="152"/>
      <c r="TPR5" s="152"/>
      <c r="TPS5" s="152"/>
      <c r="TPT5" s="152"/>
      <c r="TPU5" s="152"/>
      <c r="TPV5" s="152"/>
      <c r="TPW5" s="152"/>
      <c r="TPX5" s="152"/>
      <c r="TPY5" s="152"/>
      <c r="TPZ5" s="152"/>
      <c r="TQA5" s="152"/>
      <c r="TQB5" s="152"/>
      <c r="TQC5" s="152"/>
      <c r="TQD5" s="152"/>
      <c r="TQE5" s="152"/>
      <c r="TQF5" s="152"/>
      <c r="TQG5" s="152"/>
      <c r="TQH5" s="152"/>
      <c r="TQI5" s="152"/>
      <c r="TQJ5" s="152"/>
      <c r="TQK5" s="152"/>
      <c r="TQL5" s="152"/>
      <c r="TQM5" s="152"/>
      <c r="TQN5" s="152"/>
      <c r="TQO5" s="152"/>
      <c r="TQP5" s="152"/>
      <c r="TQQ5" s="152"/>
      <c r="TQR5" s="152"/>
      <c r="TQS5" s="152"/>
      <c r="TQT5" s="152"/>
      <c r="TQU5" s="152"/>
      <c r="TQV5" s="152"/>
      <c r="TQW5" s="152"/>
      <c r="TQX5" s="152"/>
      <c r="TQY5" s="152"/>
      <c r="TQZ5" s="152"/>
      <c r="TRA5" s="152"/>
      <c r="TRB5" s="152"/>
      <c r="TRC5" s="152"/>
      <c r="TRD5" s="152"/>
      <c r="TRE5" s="152"/>
      <c r="TRF5" s="152"/>
      <c r="TRG5" s="152"/>
      <c r="TRH5" s="152"/>
      <c r="TRI5" s="152"/>
      <c r="TRJ5" s="152"/>
      <c r="TRK5" s="152"/>
      <c r="TRL5" s="152"/>
      <c r="TRM5" s="152"/>
      <c r="TRN5" s="152"/>
      <c r="TRO5" s="152"/>
      <c r="TRP5" s="152"/>
      <c r="TRQ5" s="152"/>
      <c r="TRR5" s="152"/>
      <c r="TRS5" s="152"/>
      <c r="TRT5" s="152"/>
      <c r="TRU5" s="152"/>
      <c r="TRV5" s="152"/>
      <c r="TRW5" s="152"/>
      <c r="TRX5" s="152"/>
      <c r="TRY5" s="152"/>
      <c r="TRZ5" s="152"/>
      <c r="TSA5" s="152"/>
      <c r="TSB5" s="152"/>
      <c r="TSC5" s="152"/>
      <c r="TSD5" s="152"/>
      <c r="TSE5" s="152"/>
      <c r="TSF5" s="152"/>
      <c r="TSG5" s="152"/>
      <c r="TSH5" s="152"/>
      <c r="TSI5" s="152"/>
      <c r="TSJ5" s="152"/>
      <c r="TSK5" s="152"/>
      <c r="TSL5" s="152"/>
      <c r="TSM5" s="152"/>
      <c r="TSN5" s="152"/>
      <c r="TSO5" s="152"/>
      <c r="TSP5" s="152"/>
      <c r="TSQ5" s="152"/>
      <c r="TSR5" s="152"/>
      <c r="TSS5" s="152"/>
      <c r="TST5" s="152"/>
      <c r="TSU5" s="152"/>
      <c r="TSV5" s="152"/>
      <c r="TSW5" s="152"/>
      <c r="TSX5" s="152"/>
      <c r="TSY5" s="152"/>
      <c r="TSZ5" s="152"/>
      <c r="TTA5" s="152"/>
      <c r="TTB5" s="152"/>
      <c r="TTC5" s="152"/>
      <c r="TTD5" s="152"/>
      <c r="TTE5" s="152"/>
      <c r="TTF5" s="152"/>
      <c r="TTG5" s="152"/>
      <c r="TTH5" s="152"/>
      <c r="TTI5" s="152"/>
      <c r="TTJ5" s="152"/>
      <c r="TTK5" s="152"/>
      <c r="TTL5" s="152"/>
      <c r="TTM5" s="152"/>
      <c r="TTN5" s="152"/>
      <c r="TTO5" s="152"/>
      <c r="TTP5" s="152"/>
      <c r="TTQ5" s="152"/>
      <c r="TTR5" s="152"/>
      <c r="TTS5" s="152"/>
      <c r="TTT5" s="152"/>
      <c r="TTU5" s="152"/>
      <c r="TTV5" s="152"/>
      <c r="TTW5" s="152"/>
      <c r="TTX5" s="152"/>
      <c r="TTY5" s="152"/>
      <c r="TTZ5" s="152"/>
      <c r="TUA5" s="152"/>
      <c r="TUB5" s="152"/>
      <c r="TUC5" s="152"/>
      <c r="TUD5" s="152"/>
      <c r="TUE5" s="152"/>
      <c r="TUF5" s="152"/>
      <c r="TUG5" s="152"/>
      <c r="TUH5" s="152"/>
      <c r="TUI5" s="152"/>
      <c r="TUJ5" s="152"/>
      <c r="TUK5" s="152"/>
      <c r="TUL5" s="152"/>
      <c r="TUM5" s="152"/>
      <c r="TUN5" s="152"/>
      <c r="TUO5" s="152"/>
      <c r="TUP5" s="152"/>
      <c r="TUQ5" s="152"/>
      <c r="TUR5" s="152"/>
      <c r="TUS5" s="152"/>
      <c r="TUT5" s="152"/>
      <c r="TUU5" s="152"/>
      <c r="TUV5" s="152"/>
      <c r="TUW5" s="152"/>
      <c r="TUX5" s="152"/>
      <c r="TUY5" s="152"/>
      <c r="TUZ5" s="152"/>
      <c r="TVA5" s="152"/>
      <c r="TVB5" s="152"/>
      <c r="TVC5" s="152"/>
      <c r="TVD5" s="152"/>
      <c r="TVE5" s="152"/>
      <c r="TVF5" s="152"/>
      <c r="TVG5" s="152"/>
      <c r="TVH5" s="152"/>
      <c r="TVI5" s="152"/>
      <c r="TVJ5" s="152"/>
      <c r="TVK5" s="152"/>
      <c r="TVL5" s="152"/>
      <c r="TVM5" s="152"/>
      <c r="TVN5" s="152"/>
      <c r="TVO5" s="152"/>
      <c r="TVP5" s="152"/>
      <c r="TVQ5" s="152"/>
      <c r="TVR5" s="152"/>
      <c r="TVS5" s="152"/>
      <c r="TVT5" s="152"/>
      <c r="TVU5" s="152"/>
      <c r="TVV5" s="152"/>
      <c r="TVW5" s="152"/>
      <c r="TVX5" s="152"/>
      <c r="TVY5" s="152"/>
      <c r="TVZ5" s="152"/>
      <c r="TWA5" s="152"/>
      <c r="TWB5" s="152"/>
      <c r="TWC5" s="152"/>
      <c r="TWD5" s="152"/>
      <c r="TWE5" s="152"/>
      <c r="TWF5" s="152"/>
      <c r="TWG5" s="152"/>
      <c r="TWH5" s="152"/>
      <c r="TWI5" s="152"/>
      <c r="TWJ5" s="152"/>
      <c r="TWK5" s="152"/>
      <c r="TWL5" s="152"/>
      <c r="TWM5" s="152"/>
      <c r="TWN5" s="152"/>
      <c r="TWO5" s="152"/>
      <c r="TWP5" s="152"/>
      <c r="TWQ5" s="152"/>
      <c r="TWR5" s="152"/>
      <c r="TWS5" s="152"/>
      <c r="TWT5" s="152"/>
      <c r="TWU5" s="152"/>
      <c r="TWV5" s="152"/>
      <c r="TWW5" s="152"/>
      <c r="TWX5" s="152"/>
      <c r="TWY5" s="152"/>
      <c r="TWZ5" s="152"/>
      <c r="TXA5" s="152"/>
      <c r="TXB5" s="152"/>
      <c r="TXC5" s="152"/>
      <c r="TXD5" s="152"/>
      <c r="TXE5" s="152"/>
      <c r="TXF5" s="152"/>
      <c r="TXG5" s="152"/>
      <c r="TXH5" s="152"/>
      <c r="TXI5" s="152"/>
      <c r="TXJ5" s="152"/>
      <c r="TXK5" s="152"/>
      <c r="TXL5" s="152"/>
      <c r="TXM5" s="152"/>
      <c r="TXN5" s="152"/>
      <c r="TXO5" s="152"/>
      <c r="TXP5" s="152"/>
      <c r="TXQ5" s="152"/>
      <c r="TXR5" s="152"/>
      <c r="TXS5" s="152"/>
      <c r="TXT5" s="152"/>
      <c r="TXU5" s="152"/>
      <c r="TXV5" s="152"/>
      <c r="TXW5" s="152"/>
      <c r="TXX5" s="152"/>
      <c r="TXY5" s="152"/>
      <c r="TXZ5" s="152"/>
      <c r="TYA5" s="152"/>
      <c r="TYB5" s="152"/>
      <c r="TYC5" s="152"/>
      <c r="TYD5" s="152"/>
      <c r="TYE5" s="152"/>
      <c r="TYF5" s="152"/>
      <c r="TYG5" s="152"/>
      <c r="TYH5" s="152"/>
      <c r="TYI5" s="152"/>
      <c r="TYJ5" s="152"/>
      <c r="TYK5" s="152"/>
      <c r="TYL5" s="152"/>
      <c r="TYM5" s="152"/>
      <c r="TYN5" s="152"/>
      <c r="TYO5" s="152"/>
      <c r="TYP5" s="152"/>
      <c r="TYQ5" s="152"/>
      <c r="TYR5" s="152"/>
      <c r="TYS5" s="152"/>
      <c r="TYT5" s="152"/>
      <c r="TYU5" s="152"/>
      <c r="TYV5" s="152"/>
      <c r="TYW5" s="152"/>
      <c r="TYX5" s="152"/>
      <c r="TYY5" s="152"/>
      <c r="TYZ5" s="152"/>
      <c r="TZA5" s="152"/>
      <c r="TZB5" s="152"/>
      <c r="TZC5" s="152"/>
      <c r="TZD5" s="152"/>
      <c r="TZE5" s="152"/>
      <c r="TZF5" s="152"/>
      <c r="TZG5" s="152"/>
      <c r="TZH5" s="152"/>
      <c r="TZI5" s="152"/>
      <c r="TZJ5" s="152"/>
      <c r="TZK5" s="152"/>
      <c r="TZL5" s="152"/>
      <c r="TZM5" s="152"/>
      <c r="TZN5" s="152"/>
      <c r="TZO5" s="152"/>
      <c r="TZP5" s="152"/>
      <c r="TZQ5" s="152"/>
      <c r="TZR5" s="152"/>
      <c r="TZS5" s="152"/>
      <c r="TZT5" s="152"/>
      <c r="TZU5" s="152"/>
      <c r="TZV5" s="152"/>
      <c r="TZW5" s="152"/>
      <c r="TZX5" s="152"/>
      <c r="TZY5" s="152"/>
      <c r="TZZ5" s="152"/>
      <c r="UAA5" s="152"/>
      <c r="UAB5" s="152"/>
      <c r="UAC5" s="152"/>
      <c r="UAD5" s="152"/>
      <c r="UAE5" s="152"/>
      <c r="UAF5" s="152"/>
      <c r="UAG5" s="152"/>
      <c r="UAH5" s="152"/>
      <c r="UAI5" s="152"/>
      <c r="UAJ5" s="152"/>
      <c r="UAK5" s="152"/>
      <c r="UAL5" s="152"/>
      <c r="UAM5" s="152"/>
      <c r="UAN5" s="152"/>
      <c r="UAO5" s="152"/>
      <c r="UAP5" s="152"/>
      <c r="UAQ5" s="152"/>
      <c r="UAR5" s="152"/>
      <c r="UAS5" s="152"/>
      <c r="UAT5" s="152"/>
      <c r="UAU5" s="152"/>
      <c r="UAV5" s="152"/>
      <c r="UAW5" s="152"/>
      <c r="UAX5" s="152"/>
      <c r="UAY5" s="152"/>
      <c r="UAZ5" s="152"/>
      <c r="UBA5" s="152"/>
      <c r="UBB5" s="152"/>
      <c r="UBC5" s="152"/>
      <c r="UBD5" s="152"/>
      <c r="UBE5" s="152"/>
      <c r="UBF5" s="152"/>
      <c r="UBG5" s="152"/>
      <c r="UBH5" s="152"/>
      <c r="UBI5" s="152"/>
      <c r="UBJ5" s="152"/>
      <c r="UBK5" s="152"/>
      <c r="UBL5" s="152"/>
      <c r="UBM5" s="152"/>
      <c r="UBN5" s="152"/>
      <c r="UBO5" s="152"/>
      <c r="UBP5" s="152"/>
      <c r="UBQ5" s="152"/>
      <c r="UBR5" s="152"/>
      <c r="UBS5" s="152"/>
      <c r="UBT5" s="152"/>
      <c r="UBU5" s="152"/>
      <c r="UBV5" s="152"/>
      <c r="UBW5" s="152"/>
      <c r="UBX5" s="152"/>
      <c r="UBY5" s="152"/>
      <c r="UBZ5" s="152"/>
      <c r="UCA5" s="152"/>
      <c r="UCB5" s="152"/>
      <c r="UCC5" s="152"/>
      <c r="UCD5" s="152"/>
      <c r="UCE5" s="152"/>
      <c r="UCF5" s="152"/>
      <c r="UCG5" s="152"/>
      <c r="UCH5" s="152"/>
      <c r="UCI5" s="152"/>
      <c r="UCJ5" s="152"/>
      <c r="UCK5" s="152"/>
      <c r="UCL5" s="152"/>
      <c r="UCM5" s="152"/>
      <c r="UCN5" s="152"/>
      <c r="UCO5" s="152"/>
      <c r="UCP5" s="152"/>
      <c r="UCQ5" s="152"/>
      <c r="UCR5" s="152"/>
      <c r="UCS5" s="152"/>
      <c r="UCT5" s="152"/>
      <c r="UCU5" s="152"/>
      <c r="UCV5" s="152"/>
      <c r="UCW5" s="152"/>
      <c r="UCX5" s="152"/>
      <c r="UCY5" s="152"/>
      <c r="UCZ5" s="152"/>
      <c r="UDA5" s="152"/>
      <c r="UDB5" s="152"/>
      <c r="UDC5" s="152"/>
      <c r="UDD5" s="152"/>
      <c r="UDE5" s="152"/>
      <c r="UDF5" s="152"/>
      <c r="UDG5" s="152"/>
      <c r="UDH5" s="152"/>
      <c r="UDI5" s="152"/>
      <c r="UDJ5" s="152"/>
      <c r="UDK5" s="152"/>
      <c r="UDL5" s="152"/>
      <c r="UDM5" s="152"/>
      <c r="UDN5" s="152"/>
      <c r="UDO5" s="152"/>
      <c r="UDP5" s="152"/>
      <c r="UDQ5" s="152"/>
      <c r="UDR5" s="152"/>
      <c r="UDS5" s="152"/>
      <c r="UDT5" s="152"/>
      <c r="UDU5" s="152"/>
      <c r="UDV5" s="152"/>
      <c r="UDW5" s="152"/>
      <c r="UDX5" s="152"/>
      <c r="UDY5" s="152"/>
      <c r="UDZ5" s="152"/>
      <c r="UEA5" s="152"/>
      <c r="UEB5" s="152"/>
      <c r="UEC5" s="152"/>
      <c r="UED5" s="152"/>
      <c r="UEE5" s="152"/>
      <c r="UEF5" s="152"/>
      <c r="UEG5" s="152"/>
      <c r="UEH5" s="152"/>
      <c r="UEI5" s="152"/>
      <c r="UEJ5" s="152"/>
      <c r="UEK5" s="152"/>
      <c r="UEL5" s="152"/>
      <c r="UEM5" s="152"/>
      <c r="UEN5" s="152"/>
      <c r="UEO5" s="152"/>
      <c r="UEP5" s="152"/>
      <c r="UEQ5" s="152"/>
      <c r="UER5" s="152"/>
      <c r="UES5" s="152"/>
      <c r="UET5" s="152"/>
      <c r="UEU5" s="152"/>
      <c r="UEV5" s="152"/>
      <c r="UEW5" s="152"/>
      <c r="UEX5" s="152"/>
      <c r="UEY5" s="152"/>
      <c r="UEZ5" s="152"/>
      <c r="UFA5" s="152"/>
      <c r="UFB5" s="152"/>
      <c r="UFC5" s="152"/>
      <c r="UFD5" s="152"/>
      <c r="UFE5" s="152"/>
      <c r="UFF5" s="152"/>
      <c r="UFG5" s="152"/>
      <c r="UFH5" s="152"/>
      <c r="UFI5" s="152"/>
      <c r="UFJ5" s="152"/>
      <c r="UFK5" s="152"/>
      <c r="UFL5" s="152"/>
      <c r="UFM5" s="152"/>
      <c r="UFN5" s="152"/>
      <c r="UFO5" s="152"/>
      <c r="UFP5" s="152"/>
      <c r="UFQ5" s="152"/>
      <c r="UFR5" s="152"/>
      <c r="UFS5" s="152"/>
      <c r="UFT5" s="152"/>
      <c r="UFU5" s="152"/>
      <c r="UFV5" s="152"/>
      <c r="UFW5" s="152"/>
      <c r="UFX5" s="152"/>
      <c r="UFY5" s="152"/>
      <c r="UFZ5" s="152"/>
      <c r="UGA5" s="152"/>
      <c r="UGB5" s="152"/>
      <c r="UGC5" s="152"/>
      <c r="UGD5" s="152"/>
      <c r="UGE5" s="152"/>
      <c r="UGF5" s="152"/>
      <c r="UGG5" s="152"/>
      <c r="UGH5" s="152"/>
      <c r="UGI5" s="152"/>
      <c r="UGJ5" s="152"/>
      <c r="UGK5" s="152"/>
      <c r="UGL5" s="152"/>
      <c r="UGM5" s="152"/>
      <c r="UGN5" s="152"/>
      <c r="UGO5" s="152"/>
      <c r="UGP5" s="152"/>
      <c r="UGQ5" s="152"/>
      <c r="UGR5" s="152"/>
      <c r="UGS5" s="152"/>
      <c r="UGT5" s="152"/>
      <c r="UGU5" s="152"/>
      <c r="UGV5" s="152"/>
      <c r="UGW5" s="152"/>
      <c r="UGX5" s="152"/>
      <c r="UGY5" s="152"/>
      <c r="UGZ5" s="152"/>
      <c r="UHA5" s="152"/>
      <c r="UHB5" s="152"/>
      <c r="UHC5" s="152"/>
      <c r="UHD5" s="152"/>
      <c r="UHE5" s="152"/>
      <c r="UHF5" s="152"/>
      <c r="UHG5" s="152"/>
      <c r="UHH5" s="152"/>
      <c r="UHI5" s="152"/>
      <c r="UHJ5" s="152"/>
      <c r="UHK5" s="152"/>
      <c r="UHL5" s="152"/>
      <c r="UHM5" s="152"/>
      <c r="UHN5" s="152"/>
      <c r="UHO5" s="152"/>
      <c r="UHP5" s="152"/>
      <c r="UHQ5" s="152"/>
      <c r="UHR5" s="152"/>
      <c r="UHS5" s="152"/>
      <c r="UHT5" s="152"/>
      <c r="UHU5" s="152"/>
      <c r="UHV5" s="152"/>
      <c r="UHW5" s="152"/>
      <c r="UHX5" s="152"/>
      <c r="UHY5" s="152"/>
      <c r="UHZ5" s="152"/>
      <c r="UIA5" s="152"/>
      <c r="UIB5" s="152"/>
      <c r="UIC5" s="152"/>
      <c r="UID5" s="152"/>
      <c r="UIE5" s="152"/>
      <c r="UIF5" s="152"/>
      <c r="UIG5" s="152"/>
      <c r="UIH5" s="152"/>
      <c r="UII5" s="152"/>
      <c r="UIJ5" s="152"/>
      <c r="UIK5" s="152"/>
      <c r="UIL5" s="152"/>
      <c r="UIM5" s="152"/>
      <c r="UIN5" s="152"/>
      <c r="UIO5" s="152"/>
      <c r="UIP5" s="152"/>
      <c r="UIQ5" s="152"/>
      <c r="UIR5" s="152"/>
      <c r="UIS5" s="152"/>
      <c r="UIT5" s="152"/>
      <c r="UIU5" s="152"/>
      <c r="UIV5" s="152"/>
      <c r="UIW5" s="152"/>
      <c r="UIX5" s="152"/>
      <c r="UIY5" s="152"/>
      <c r="UIZ5" s="152"/>
      <c r="UJA5" s="152"/>
      <c r="UJB5" s="152"/>
      <c r="UJC5" s="152"/>
      <c r="UJD5" s="152"/>
      <c r="UJE5" s="152"/>
      <c r="UJF5" s="152"/>
      <c r="UJG5" s="152"/>
      <c r="UJH5" s="152"/>
      <c r="UJI5" s="152"/>
      <c r="UJJ5" s="152"/>
      <c r="UJK5" s="152"/>
      <c r="UJL5" s="152"/>
      <c r="UJM5" s="152"/>
      <c r="UJN5" s="152"/>
      <c r="UJO5" s="152"/>
      <c r="UJP5" s="152"/>
      <c r="UJQ5" s="152"/>
      <c r="UJR5" s="152"/>
      <c r="UJS5" s="152"/>
      <c r="UJT5" s="152"/>
      <c r="UJU5" s="152"/>
      <c r="UJV5" s="152"/>
      <c r="UJW5" s="152"/>
      <c r="UJX5" s="152"/>
      <c r="UJY5" s="152"/>
      <c r="UJZ5" s="152"/>
      <c r="UKA5" s="152"/>
      <c r="UKB5" s="152"/>
      <c r="UKC5" s="152"/>
      <c r="UKD5" s="152"/>
      <c r="UKE5" s="152"/>
      <c r="UKF5" s="152"/>
      <c r="UKG5" s="152"/>
      <c r="UKH5" s="152"/>
      <c r="UKI5" s="152"/>
      <c r="UKJ5" s="152"/>
      <c r="UKK5" s="152"/>
      <c r="UKL5" s="152"/>
      <c r="UKM5" s="152"/>
      <c r="UKN5" s="152"/>
      <c r="UKO5" s="152"/>
      <c r="UKP5" s="152"/>
      <c r="UKQ5" s="152"/>
      <c r="UKR5" s="152"/>
      <c r="UKS5" s="152"/>
      <c r="UKT5" s="152"/>
      <c r="UKU5" s="152"/>
      <c r="UKV5" s="152"/>
      <c r="UKW5" s="152"/>
      <c r="UKX5" s="152"/>
      <c r="UKY5" s="152"/>
      <c r="UKZ5" s="152"/>
      <c r="ULA5" s="152"/>
      <c r="ULB5" s="152"/>
      <c r="ULC5" s="152"/>
      <c r="ULD5" s="152"/>
      <c r="ULE5" s="152"/>
      <c r="ULF5" s="152"/>
      <c r="ULG5" s="152"/>
      <c r="ULH5" s="152"/>
      <c r="ULI5" s="152"/>
      <c r="ULJ5" s="152"/>
      <c r="ULK5" s="152"/>
      <c r="ULL5" s="152"/>
      <c r="ULM5" s="152"/>
      <c r="ULN5" s="152"/>
      <c r="ULO5" s="152"/>
      <c r="ULP5" s="152"/>
      <c r="ULQ5" s="152"/>
      <c r="ULR5" s="152"/>
      <c r="ULS5" s="152"/>
      <c r="ULT5" s="152"/>
      <c r="ULU5" s="152"/>
      <c r="ULV5" s="152"/>
      <c r="ULW5" s="152"/>
      <c r="ULX5" s="152"/>
      <c r="ULY5" s="152"/>
      <c r="ULZ5" s="152"/>
      <c r="UMA5" s="152"/>
      <c r="UMB5" s="152"/>
      <c r="UMC5" s="152"/>
      <c r="UMD5" s="152"/>
      <c r="UME5" s="152"/>
      <c r="UMF5" s="152"/>
      <c r="UMG5" s="152"/>
      <c r="UMH5" s="152"/>
      <c r="UMI5" s="152"/>
      <c r="UMJ5" s="152"/>
      <c r="UMK5" s="152"/>
      <c r="UML5" s="152"/>
      <c r="UMM5" s="152"/>
      <c r="UMN5" s="152"/>
      <c r="UMO5" s="152"/>
      <c r="UMP5" s="152"/>
      <c r="UMQ5" s="152"/>
      <c r="UMR5" s="152"/>
      <c r="UMS5" s="152"/>
      <c r="UMT5" s="152"/>
      <c r="UMU5" s="152"/>
      <c r="UMV5" s="152"/>
      <c r="UMW5" s="152"/>
      <c r="UMX5" s="152"/>
      <c r="UMY5" s="152"/>
      <c r="UMZ5" s="152"/>
      <c r="UNA5" s="152"/>
      <c r="UNB5" s="152"/>
      <c r="UNC5" s="152"/>
      <c r="UND5" s="152"/>
      <c r="UNE5" s="152"/>
      <c r="UNF5" s="152"/>
      <c r="UNG5" s="152"/>
      <c r="UNH5" s="152"/>
      <c r="UNI5" s="152"/>
      <c r="UNJ5" s="152"/>
      <c r="UNK5" s="152"/>
      <c r="UNL5" s="152"/>
      <c r="UNM5" s="152"/>
      <c r="UNN5" s="152"/>
      <c r="UNO5" s="152"/>
      <c r="UNP5" s="152"/>
      <c r="UNQ5" s="152"/>
      <c r="UNR5" s="152"/>
      <c r="UNS5" s="152"/>
      <c r="UNT5" s="152"/>
      <c r="UNU5" s="152"/>
      <c r="UNV5" s="152"/>
      <c r="UNW5" s="152"/>
      <c r="UNX5" s="152"/>
      <c r="UNY5" s="152"/>
      <c r="UNZ5" s="152"/>
      <c r="UOA5" s="152"/>
      <c r="UOB5" s="152"/>
      <c r="UOC5" s="152"/>
      <c r="UOD5" s="152"/>
      <c r="UOE5" s="152"/>
      <c r="UOF5" s="152"/>
      <c r="UOG5" s="152"/>
      <c r="UOH5" s="152"/>
      <c r="UOI5" s="152"/>
      <c r="UOJ5" s="152"/>
      <c r="UOK5" s="152"/>
      <c r="UOL5" s="152"/>
      <c r="UOM5" s="152"/>
      <c r="UON5" s="152"/>
      <c r="UOO5" s="152"/>
      <c r="UOP5" s="152"/>
      <c r="UOQ5" s="152"/>
      <c r="UOR5" s="152"/>
      <c r="UOS5" s="152"/>
      <c r="UOT5" s="152"/>
      <c r="UOU5" s="152"/>
      <c r="UOV5" s="152"/>
      <c r="UOW5" s="152"/>
      <c r="UOX5" s="152"/>
      <c r="UOY5" s="152"/>
      <c r="UOZ5" s="152"/>
      <c r="UPA5" s="152"/>
      <c r="UPB5" s="152"/>
      <c r="UPC5" s="152"/>
      <c r="UPD5" s="152"/>
      <c r="UPE5" s="152"/>
      <c r="UPF5" s="152"/>
      <c r="UPG5" s="152"/>
      <c r="UPH5" s="152"/>
      <c r="UPI5" s="152"/>
      <c r="UPJ5" s="152"/>
      <c r="UPK5" s="152"/>
      <c r="UPL5" s="152"/>
      <c r="UPM5" s="152"/>
      <c r="UPN5" s="152"/>
      <c r="UPO5" s="152"/>
      <c r="UPP5" s="152"/>
      <c r="UPQ5" s="152"/>
      <c r="UPR5" s="152"/>
      <c r="UPS5" s="152"/>
      <c r="UPT5" s="152"/>
      <c r="UPU5" s="152"/>
      <c r="UPV5" s="152"/>
      <c r="UPW5" s="152"/>
      <c r="UPX5" s="152"/>
      <c r="UPY5" s="152"/>
      <c r="UPZ5" s="152"/>
      <c r="UQA5" s="152"/>
      <c r="UQB5" s="152"/>
      <c r="UQC5" s="152"/>
      <c r="UQD5" s="152"/>
      <c r="UQE5" s="152"/>
      <c r="UQF5" s="152"/>
      <c r="UQG5" s="152"/>
      <c r="UQH5" s="152"/>
      <c r="UQI5" s="152"/>
      <c r="UQJ5" s="152"/>
      <c r="UQK5" s="152"/>
      <c r="UQL5" s="152"/>
      <c r="UQM5" s="152"/>
      <c r="UQN5" s="152"/>
      <c r="UQO5" s="152"/>
      <c r="UQP5" s="152"/>
      <c r="UQQ5" s="152"/>
      <c r="UQR5" s="152"/>
      <c r="UQS5" s="152"/>
      <c r="UQT5" s="152"/>
      <c r="UQU5" s="152"/>
      <c r="UQV5" s="152"/>
      <c r="UQW5" s="152"/>
      <c r="UQX5" s="152"/>
      <c r="UQY5" s="152"/>
      <c r="UQZ5" s="152"/>
      <c r="URA5" s="152"/>
      <c r="URB5" s="152"/>
      <c r="URC5" s="152"/>
      <c r="URD5" s="152"/>
      <c r="URE5" s="152"/>
      <c r="URF5" s="152"/>
      <c r="URG5" s="152"/>
      <c r="URH5" s="152"/>
      <c r="URI5" s="152"/>
      <c r="URJ5" s="152"/>
      <c r="URK5" s="152"/>
      <c r="URL5" s="152"/>
      <c r="URM5" s="152"/>
      <c r="URN5" s="152"/>
      <c r="URO5" s="152"/>
      <c r="URP5" s="152"/>
      <c r="URQ5" s="152"/>
      <c r="URR5" s="152"/>
      <c r="URS5" s="152"/>
      <c r="URT5" s="152"/>
      <c r="URU5" s="152"/>
      <c r="URV5" s="152"/>
      <c r="URW5" s="152"/>
      <c r="URX5" s="152"/>
      <c r="URY5" s="152"/>
      <c r="URZ5" s="152"/>
      <c r="USA5" s="152"/>
      <c r="USB5" s="152"/>
      <c r="USC5" s="152"/>
      <c r="USD5" s="152"/>
      <c r="USE5" s="152"/>
      <c r="USF5" s="152"/>
      <c r="USG5" s="152"/>
      <c r="USH5" s="152"/>
      <c r="USI5" s="152"/>
      <c r="USJ5" s="152"/>
      <c r="USK5" s="152"/>
      <c r="USL5" s="152"/>
      <c r="USM5" s="152"/>
      <c r="USN5" s="152"/>
      <c r="USO5" s="152"/>
      <c r="USP5" s="152"/>
      <c r="USQ5" s="152"/>
      <c r="USR5" s="152"/>
      <c r="USS5" s="152"/>
      <c r="UST5" s="152"/>
      <c r="USU5" s="152"/>
      <c r="USV5" s="152"/>
      <c r="USW5" s="152"/>
      <c r="USX5" s="152"/>
      <c r="USY5" s="152"/>
      <c r="USZ5" s="152"/>
      <c r="UTA5" s="152"/>
      <c r="UTB5" s="152"/>
      <c r="UTC5" s="152"/>
      <c r="UTD5" s="152"/>
      <c r="UTE5" s="152"/>
      <c r="UTF5" s="152"/>
      <c r="UTG5" s="152"/>
      <c r="UTH5" s="152"/>
      <c r="UTI5" s="152"/>
      <c r="UTJ5" s="152"/>
      <c r="UTK5" s="152"/>
      <c r="UTL5" s="152"/>
      <c r="UTM5" s="152"/>
      <c r="UTN5" s="152"/>
      <c r="UTO5" s="152"/>
      <c r="UTP5" s="152"/>
      <c r="UTQ5" s="152"/>
      <c r="UTR5" s="152"/>
      <c r="UTS5" s="152"/>
      <c r="UTT5" s="152"/>
      <c r="UTU5" s="152"/>
      <c r="UTV5" s="152"/>
      <c r="UTW5" s="152"/>
      <c r="UTX5" s="152"/>
      <c r="UTY5" s="152"/>
      <c r="UTZ5" s="152"/>
      <c r="UUA5" s="152"/>
      <c r="UUB5" s="152"/>
      <c r="UUC5" s="152"/>
      <c r="UUD5" s="152"/>
      <c r="UUE5" s="152"/>
      <c r="UUF5" s="152"/>
      <c r="UUG5" s="152"/>
      <c r="UUH5" s="152"/>
      <c r="UUI5" s="152"/>
      <c r="UUJ5" s="152"/>
      <c r="UUK5" s="152"/>
      <c r="UUL5" s="152"/>
      <c r="UUM5" s="152"/>
      <c r="UUN5" s="152"/>
      <c r="UUO5" s="152"/>
      <c r="UUP5" s="152"/>
      <c r="UUQ5" s="152"/>
      <c r="UUR5" s="152"/>
      <c r="UUS5" s="152"/>
      <c r="UUT5" s="152"/>
      <c r="UUU5" s="152"/>
      <c r="UUV5" s="152"/>
      <c r="UUW5" s="152"/>
      <c r="UUX5" s="152"/>
      <c r="UUY5" s="152"/>
      <c r="UUZ5" s="152"/>
      <c r="UVA5" s="152"/>
      <c r="UVB5" s="152"/>
      <c r="UVC5" s="152"/>
      <c r="UVD5" s="152"/>
      <c r="UVE5" s="152"/>
      <c r="UVF5" s="152"/>
      <c r="UVG5" s="152"/>
      <c r="UVH5" s="152"/>
      <c r="UVI5" s="152"/>
      <c r="UVJ5" s="152"/>
      <c r="UVK5" s="152"/>
      <c r="UVL5" s="152"/>
      <c r="UVM5" s="152"/>
      <c r="UVN5" s="152"/>
      <c r="UVO5" s="152"/>
      <c r="UVP5" s="152"/>
      <c r="UVQ5" s="152"/>
      <c r="UVR5" s="152"/>
      <c r="UVS5" s="152"/>
      <c r="UVT5" s="152"/>
      <c r="UVU5" s="152"/>
      <c r="UVV5" s="152"/>
      <c r="UVW5" s="152"/>
      <c r="UVX5" s="152"/>
      <c r="UVY5" s="152"/>
      <c r="UVZ5" s="152"/>
      <c r="UWA5" s="152"/>
      <c r="UWB5" s="152"/>
      <c r="UWC5" s="152"/>
      <c r="UWD5" s="152"/>
      <c r="UWE5" s="152"/>
      <c r="UWF5" s="152"/>
      <c r="UWG5" s="152"/>
      <c r="UWH5" s="152"/>
      <c r="UWI5" s="152"/>
      <c r="UWJ5" s="152"/>
      <c r="UWK5" s="152"/>
      <c r="UWL5" s="152"/>
      <c r="UWM5" s="152"/>
      <c r="UWN5" s="152"/>
      <c r="UWO5" s="152"/>
      <c r="UWP5" s="152"/>
      <c r="UWQ5" s="152"/>
      <c r="UWR5" s="152"/>
      <c r="UWS5" s="152"/>
      <c r="UWT5" s="152"/>
      <c r="UWU5" s="152"/>
      <c r="UWV5" s="152"/>
      <c r="UWW5" s="152"/>
      <c r="UWX5" s="152"/>
      <c r="UWY5" s="152"/>
      <c r="UWZ5" s="152"/>
      <c r="UXA5" s="152"/>
      <c r="UXB5" s="152"/>
      <c r="UXC5" s="152"/>
      <c r="UXD5" s="152"/>
      <c r="UXE5" s="152"/>
      <c r="UXF5" s="152"/>
      <c r="UXG5" s="152"/>
      <c r="UXH5" s="152"/>
      <c r="UXI5" s="152"/>
      <c r="UXJ5" s="152"/>
      <c r="UXK5" s="152"/>
      <c r="UXL5" s="152"/>
      <c r="UXM5" s="152"/>
      <c r="UXN5" s="152"/>
      <c r="UXO5" s="152"/>
      <c r="UXP5" s="152"/>
      <c r="UXQ5" s="152"/>
      <c r="UXR5" s="152"/>
      <c r="UXS5" s="152"/>
      <c r="UXT5" s="152"/>
      <c r="UXU5" s="152"/>
      <c r="UXV5" s="152"/>
      <c r="UXW5" s="152"/>
      <c r="UXX5" s="152"/>
      <c r="UXY5" s="152"/>
      <c r="UXZ5" s="152"/>
      <c r="UYA5" s="152"/>
      <c r="UYB5" s="152"/>
      <c r="UYC5" s="152"/>
      <c r="UYD5" s="152"/>
      <c r="UYE5" s="152"/>
      <c r="UYF5" s="152"/>
      <c r="UYG5" s="152"/>
      <c r="UYH5" s="152"/>
      <c r="UYI5" s="152"/>
      <c r="UYJ5" s="152"/>
      <c r="UYK5" s="152"/>
      <c r="UYL5" s="152"/>
      <c r="UYM5" s="152"/>
      <c r="UYN5" s="152"/>
      <c r="UYO5" s="152"/>
      <c r="UYP5" s="152"/>
      <c r="UYQ5" s="152"/>
      <c r="UYR5" s="152"/>
      <c r="UYS5" s="152"/>
      <c r="UYT5" s="152"/>
      <c r="UYU5" s="152"/>
      <c r="UYV5" s="152"/>
      <c r="UYW5" s="152"/>
      <c r="UYX5" s="152"/>
      <c r="UYY5" s="152"/>
      <c r="UYZ5" s="152"/>
      <c r="UZA5" s="152"/>
      <c r="UZB5" s="152"/>
      <c r="UZC5" s="152"/>
      <c r="UZD5" s="152"/>
      <c r="UZE5" s="152"/>
      <c r="UZF5" s="152"/>
      <c r="UZG5" s="152"/>
      <c r="UZH5" s="152"/>
      <c r="UZI5" s="152"/>
      <c r="UZJ5" s="152"/>
      <c r="UZK5" s="152"/>
      <c r="UZL5" s="152"/>
      <c r="UZM5" s="152"/>
      <c r="UZN5" s="152"/>
      <c r="UZO5" s="152"/>
      <c r="UZP5" s="152"/>
      <c r="UZQ5" s="152"/>
      <c r="UZR5" s="152"/>
      <c r="UZS5" s="152"/>
      <c r="UZT5" s="152"/>
      <c r="UZU5" s="152"/>
      <c r="UZV5" s="152"/>
      <c r="UZW5" s="152"/>
      <c r="UZX5" s="152"/>
      <c r="UZY5" s="152"/>
      <c r="UZZ5" s="152"/>
      <c r="VAA5" s="152"/>
      <c r="VAB5" s="152"/>
      <c r="VAC5" s="152"/>
      <c r="VAD5" s="152"/>
      <c r="VAE5" s="152"/>
      <c r="VAF5" s="152"/>
      <c r="VAG5" s="152"/>
      <c r="VAH5" s="152"/>
      <c r="VAI5" s="152"/>
      <c r="VAJ5" s="152"/>
      <c r="VAK5" s="152"/>
      <c r="VAL5" s="152"/>
      <c r="VAM5" s="152"/>
      <c r="VAN5" s="152"/>
      <c r="VAO5" s="152"/>
      <c r="VAP5" s="152"/>
      <c r="VAQ5" s="152"/>
      <c r="VAR5" s="152"/>
      <c r="VAS5" s="152"/>
      <c r="VAT5" s="152"/>
      <c r="VAU5" s="152"/>
      <c r="VAV5" s="152"/>
      <c r="VAW5" s="152"/>
      <c r="VAX5" s="152"/>
      <c r="VAY5" s="152"/>
      <c r="VAZ5" s="152"/>
      <c r="VBA5" s="152"/>
      <c r="VBB5" s="152"/>
      <c r="VBC5" s="152"/>
      <c r="VBD5" s="152"/>
      <c r="VBE5" s="152"/>
      <c r="VBF5" s="152"/>
      <c r="VBG5" s="152"/>
      <c r="VBH5" s="152"/>
      <c r="VBI5" s="152"/>
      <c r="VBJ5" s="152"/>
      <c r="VBK5" s="152"/>
      <c r="VBL5" s="152"/>
      <c r="VBM5" s="152"/>
      <c r="VBN5" s="152"/>
      <c r="VBO5" s="152"/>
      <c r="VBP5" s="152"/>
      <c r="VBQ5" s="152"/>
      <c r="VBR5" s="152"/>
      <c r="VBS5" s="152"/>
      <c r="VBT5" s="152"/>
      <c r="VBU5" s="152"/>
      <c r="VBV5" s="152"/>
      <c r="VBW5" s="152"/>
      <c r="VBX5" s="152"/>
      <c r="VBY5" s="152"/>
      <c r="VBZ5" s="152"/>
      <c r="VCA5" s="152"/>
      <c r="VCB5" s="152"/>
      <c r="VCC5" s="152"/>
      <c r="VCD5" s="152"/>
      <c r="VCE5" s="152"/>
      <c r="VCF5" s="152"/>
      <c r="VCG5" s="152"/>
      <c r="VCH5" s="152"/>
      <c r="VCI5" s="152"/>
      <c r="VCJ5" s="152"/>
      <c r="VCK5" s="152"/>
      <c r="VCL5" s="152"/>
      <c r="VCM5" s="152"/>
      <c r="VCN5" s="152"/>
      <c r="VCO5" s="152"/>
      <c r="VCP5" s="152"/>
      <c r="VCQ5" s="152"/>
      <c r="VCR5" s="152"/>
      <c r="VCS5" s="152"/>
      <c r="VCT5" s="152"/>
      <c r="VCU5" s="152"/>
      <c r="VCV5" s="152"/>
      <c r="VCW5" s="152"/>
      <c r="VCX5" s="152"/>
      <c r="VCY5" s="152"/>
      <c r="VCZ5" s="152"/>
      <c r="VDA5" s="152"/>
      <c r="VDB5" s="152"/>
      <c r="VDC5" s="152"/>
      <c r="VDD5" s="152"/>
      <c r="VDE5" s="152"/>
      <c r="VDF5" s="152"/>
      <c r="VDG5" s="152"/>
      <c r="VDH5" s="152"/>
      <c r="VDI5" s="152"/>
      <c r="VDJ5" s="152"/>
      <c r="VDK5" s="152"/>
      <c r="VDL5" s="152"/>
      <c r="VDM5" s="152"/>
      <c r="VDN5" s="152"/>
      <c r="VDO5" s="152"/>
      <c r="VDP5" s="152"/>
      <c r="VDQ5" s="152"/>
      <c r="VDR5" s="152"/>
      <c r="VDS5" s="152"/>
      <c r="VDT5" s="152"/>
      <c r="VDU5" s="152"/>
      <c r="VDV5" s="152"/>
      <c r="VDW5" s="152"/>
      <c r="VDX5" s="152"/>
      <c r="VDY5" s="152"/>
      <c r="VDZ5" s="152"/>
      <c r="VEA5" s="152"/>
      <c r="VEB5" s="152"/>
      <c r="VEC5" s="152"/>
      <c r="VED5" s="152"/>
      <c r="VEE5" s="152"/>
      <c r="VEF5" s="152"/>
      <c r="VEG5" s="152"/>
      <c r="VEH5" s="152"/>
      <c r="VEI5" s="152"/>
      <c r="VEJ5" s="152"/>
      <c r="VEK5" s="152"/>
      <c r="VEL5" s="152"/>
      <c r="VEM5" s="152"/>
      <c r="VEN5" s="152"/>
      <c r="VEO5" s="152"/>
      <c r="VEP5" s="152"/>
      <c r="VEQ5" s="152"/>
      <c r="VER5" s="152"/>
      <c r="VES5" s="152"/>
      <c r="VET5" s="152"/>
      <c r="VEU5" s="152"/>
      <c r="VEV5" s="152"/>
      <c r="VEW5" s="152"/>
      <c r="VEX5" s="152"/>
      <c r="VEY5" s="152"/>
      <c r="VEZ5" s="152"/>
      <c r="VFA5" s="152"/>
      <c r="VFB5" s="152"/>
      <c r="VFC5" s="152"/>
      <c r="VFD5" s="152"/>
      <c r="VFE5" s="152"/>
      <c r="VFF5" s="152"/>
      <c r="VFG5" s="152"/>
      <c r="VFH5" s="152"/>
      <c r="VFI5" s="152"/>
      <c r="VFJ5" s="152"/>
      <c r="VFK5" s="152"/>
      <c r="VFL5" s="152"/>
      <c r="VFM5" s="152"/>
      <c r="VFN5" s="152"/>
      <c r="VFO5" s="152"/>
      <c r="VFP5" s="152"/>
      <c r="VFQ5" s="152"/>
      <c r="VFR5" s="152"/>
      <c r="VFS5" s="152"/>
      <c r="VFT5" s="152"/>
      <c r="VFU5" s="152"/>
      <c r="VFV5" s="152"/>
      <c r="VFW5" s="152"/>
      <c r="VFX5" s="152"/>
      <c r="VFY5" s="152"/>
      <c r="VFZ5" s="152"/>
      <c r="VGA5" s="152"/>
      <c r="VGB5" s="152"/>
      <c r="VGC5" s="152"/>
      <c r="VGD5" s="152"/>
      <c r="VGE5" s="152"/>
      <c r="VGF5" s="152"/>
      <c r="VGG5" s="152"/>
      <c r="VGH5" s="152"/>
      <c r="VGI5" s="152"/>
      <c r="VGJ5" s="152"/>
      <c r="VGK5" s="152"/>
      <c r="VGL5" s="152"/>
      <c r="VGM5" s="152"/>
      <c r="VGN5" s="152"/>
      <c r="VGO5" s="152"/>
      <c r="VGP5" s="152"/>
      <c r="VGQ5" s="152"/>
      <c r="VGR5" s="152"/>
      <c r="VGS5" s="152"/>
      <c r="VGT5" s="152"/>
      <c r="VGU5" s="152"/>
      <c r="VGV5" s="152"/>
      <c r="VGW5" s="152"/>
      <c r="VGX5" s="152"/>
      <c r="VGY5" s="152"/>
      <c r="VGZ5" s="152"/>
      <c r="VHA5" s="152"/>
      <c r="VHB5" s="152"/>
      <c r="VHC5" s="152"/>
      <c r="VHD5" s="152"/>
      <c r="VHE5" s="152"/>
      <c r="VHF5" s="152"/>
      <c r="VHG5" s="152"/>
      <c r="VHH5" s="152"/>
      <c r="VHI5" s="152"/>
      <c r="VHJ5" s="152"/>
      <c r="VHK5" s="152"/>
      <c r="VHL5" s="152"/>
      <c r="VHM5" s="152"/>
      <c r="VHN5" s="152"/>
      <c r="VHO5" s="152"/>
      <c r="VHP5" s="152"/>
      <c r="VHQ5" s="152"/>
      <c r="VHR5" s="152"/>
      <c r="VHS5" s="152"/>
      <c r="VHT5" s="152"/>
      <c r="VHU5" s="152"/>
      <c r="VHV5" s="152"/>
      <c r="VHW5" s="152"/>
      <c r="VHX5" s="152"/>
      <c r="VHY5" s="152"/>
      <c r="VHZ5" s="152"/>
      <c r="VIA5" s="152"/>
      <c r="VIB5" s="152"/>
      <c r="VIC5" s="152"/>
      <c r="VID5" s="152"/>
      <c r="VIE5" s="152"/>
      <c r="VIF5" s="152"/>
      <c r="VIG5" s="152"/>
      <c r="VIH5" s="152"/>
      <c r="VII5" s="152"/>
      <c r="VIJ5" s="152"/>
      <c r="VIK5" s="152"/>
      <c r="VIL5" s="152"/>
      <c r="VIM5" s="152"/>
      <c r="VIN5" s="152"/>
      <c r="VIO5" s="152"/>
      <c r="VIP5" s="152"/>
      <c r="VIQ5" s="152"/>
      <c r="VIR5" s="152"/>
      <c r="VIS5" s="152"/>
      <c r="VIT5" s="152"/>
      <c r="VIU5" s="152"/>
      <c r="VIV5" s="152"/>
      <c r="VIW5" s="152"/>
      <c r="VIX5" s="152"/>
      <c r="VIY5" s="152"/>
      <c r="VIZ5" s="152"/>
      <c r="VJA5" s="152"/>
      <c r="VJB5" s="152"/>
      <c r="VJC5" s="152"/>
      <c r="VJD5" s="152"/>
      <c r="VJE5" s="152"/>
      <c r="VJF5" s="152"/>
      <c r="VJG5" s="152"/>
      <c r="VJH5" s="152"/>
      <c r="VJI5" s="152"/>
      <c r="VJJ5" s="152"/>
      <c r="VJK5" s="152"/>
      <c r="VJL5" s="152"/>
      <c r="VJM5" s="152"/>
      <c r="VJN5" s="152"/>
      <c r="VJO5" s="152"/>
      <c r="VJP5" s="152"/>
      <c r="VJQ5" s="152"/>
      <c r="VJR5" s="152"/>
      <c r="VJS5" s="152"/>
      <c r="VJT5" s="152"/>
      <c r="VJU5" s="152"/>
      <c r="VJV5" s="152"/>
      <c r="VJW5" s="152"/>
      <c r="VJX5" s="152"/>
      <c r="VJY5" s="152"/>
      <c r="VJZ5" s="152"/>
      <c r="VKA5" s="152"/>
      <c r="VKB5" s="152"/>
      <c r="VKC5" s="152"/>
      <c r="VKD5" s="152"/>
      <c r="VKE5" s="152"/>
      <c r="VKF5" s="152"/>
      <c r="VKG5" s="152"/>
      <c r="VKH5" s="152"/>
      <c r="VKI5" s="152"/>
      <c r="VKJ5" s="152"/>
      <c r="VKK5" s="152"/>
      <c r="VKL5" s="152"/>
      <c r="VKM5" s="152"/>
      <c r="VKN5" s="152"/>
      <c r="VKO5" s="152"/>
      <c r="VKP5" s="152"/>
      <c r="VKQ5" s="152"/>
      <c r="VKR5" s="152"/>
      <c r="VKS5" s="152"/>
      <c r="VKT5" s="152"/>
      <c r="VKU5" s="152"/>
      <c r="VKV5" s="152"/>
      <c r="VKW5" s="152"/>
      <c r="VKX5" s="152"/>
      <c r="VKY5" s="152"/>
      <c r="VKZ5" s="152"/>
      <c r="VLA5" s="152"/>
      <c r="VLB5" s="152"/>
      <c r="VLC5" s="152"/>
      <c r="VLD5" s="152"/>
      <c r="VLE5" s="152"/>
      <c r="VLF5" s="152"/>
      <c r="VLG5" s="152"/>
      <c r="VLH5" s="152"/>
      <c r="VLI5" s="152"/>
      <c r="VLJ5" s="152"/>
      <c r="VLK5" s="152"/>
      <c r="VLL5" s="152"/>
      <c r="VLM5" s="152"/>
      <c r="VLN5" s="152"/>
      <c r="VLO5" s="152"/>
      <c r="VLP5" s="152"/>
      <c r="VLQ5" s="152"/>
      <c r="VLR5" s="152"/>
      <c r="VLS5" s="152"/>
      <c r="VLT5" s="152"/>
      <c r="VLU5" s="152"/>
      <c r="VLV5" s="152"/>
      <c r="VLW5" s="152"/>
      <c r="VLX5" s="152"/>
      <c r="VLY5" s="152"/>
      <c r="VLZ5" s="152"/>
      <c r="VMA5" s="152"/>
      <c r="VMB5" s="152"/>
      <c r="VMC5" s="152"/>
      <c r="VMD5" s="152"/>
      <c r="VME5" s="152"/>
      <c r="VMF5" s="152"/>
      <c r="VMG5" s="152"/>
      <c r="VMH5" s="152"/>
      <c r="VMI5" s="152"/>
      <c r="VMJ5" s="152"/>
      <c r="VMK5" s="152"/>
      <c r="VML5" s="152"/>
      <c r="VMM5" s="152"/>
      <c r="VMN5" s="152"/>
      <c r="VMO5" s="152"/>
      <c r="VMP5" s="152"/>
      <c r="VMQ5" s="152"/>
      <c r="VMR5" s="152"/>
      <c r="VMS5" s="152"/>
      <c r="VMT5" s="152"/>
      <c r="VMU5" s="152"/>
      <c r="VMV5" s="152"/>
      <c r="VMW5" s="152"/>
      <c r="VMX5" s="152"/>
      <c r="VMY5" s="152"/>
      <c r="VMZ5" s="152"/>
      <c r="VNA5" s="152"/>
      <c r="VNB5" s="152"/>
      <c r="VNC5" s="152"/>
      <c r="VND5" s="152"/>
      <c r="VNE5" s="152"/>
      <c r="VNF5" s="152"/>
      <c r="VNG5" s="152"/>
      <c r="VNH5" s="152"/>
      <c r="VNI5" s="152"/>
      <c r="VNJ5" s="152"/>
      <c r="VNK5" s="152"/>
      <c r="VNL5" s="152"/>
      <c r="VNM5" s="152"/>
      <c r="VNN5" s="152"/>
      <c r="VNO5" s="152"/>
      <c r="VNP5" s="152"/>
      <c r="VNQ5" s="152"/>
      <c r="VNR5" s="152"/>
      <c r="VNS5" s="152"/>
      <c r="VNT5" s="152"/>
      <c r="VNU5" s="152"/>
      <c r="VNV5" s="152"/>
      <c r="VNW5" s="152"/>
      <c r="VNX5" s="152"/>
      <c r="VNY5" s="152"/>
      <c r="VNZ5" s="152"/>
      <c r="VOA5" s="152"/>
      <c r="VOB5" s="152"/>
      <c r="VOC5" s="152"/>
      <c r="VOD5" s="152"/>
      <c r="VOE5" s="152"/>
      <c r="VOF5" s="152"/>
      <c r="VOG5" s="152"/>
      <c r="VOH5" s="152"/>
      <c r="VOI5" s="152"/>
      <c r="VOJ5" s="152"/>
      <c r="VOK5" s="152"/>
      <c r="VOL5" s="152"/>
      <c r="VOM5" s="152"/>
      <c r="VON5" s="152"/>
      <c r="VOO5" s="152"/>
      <c r="VOP5" s="152"/>
      <c r="VOQ5" s="152"/>
      <c r="VOR5" s="152"/>
      <c r="VOS5" s="152"/>
      <c r="VOT5" s="152"/>
      <c r="VOU5" s="152"/>
      <c r="VOV5" s="152"/>
      <c r="VOW5" s="152"/>
      <c r="VOX5" s="152"/>
      <c r="VOY5" s="152"/>
      <c r="VOZ5" s="152"/>
      <c r="VPA5" s="152"/>
      <c r="VPB5" s="152"/>
      <c r="VPC5" s="152"/>
      <c r="VPD5" s="152"/>
      <c r="VPE5" s="152"/>
      <c r="VPF5" s="152"/>
      <c r="VPG5" s="152"/>
      <c r="VPH5" s="152"/>
      <c r="VPI5" s="152"/>
      <c r="VPJ5" s="152"/>
      <c r="VPK5" s="152"/>
      <c r="VPL5" s="152"/>
      <c r="VPM5" s="152"/>
      <c r="VPN5" s="152"/>
      <c r="VPO5" s="152"/>
      <c r="VPP5" s="152"/>
      <c r="VPQ5" s="152"/>
      <c r="VPR5" s="152"/>
      <c r="VPS5" s="152"/>
      <c r="VPT5" s="152"/>
      <c r="VPU5" s="152"/>
      <c r="VPV5" s="152"/>
      <c r="VPW5" s="152"/>
      <c r="VPX5" s="152"/>
      <c r="VPY5" s="152"/>
      <c r="VPZ5" s="152"/>
      <c r="VQA5" s="152"/>
      <c r="VQB5" s="152"/>
      <c r="VQC5" s="152"/>
      <c r="VQD5" s="152"/>
      <c r="VQE5" s="152"/>
      <c r="VQF5" s="152"/>
      <c r="VQG5" s="152"/>
      <c r="VQH5" s="152"/>
      <c r="VQI5" s="152"/>
      <c r="VQJ5" s="152"/>
      <c r="VQK5" s="152"/>
      <c r="VQL5" s="152"/>
      <c r="VQM5" s="152"/>
      <c r="VQN5" s="152"/>
      <c r="VQO5" s="152"/>
      <c r="VQP5" s="152"/>
      <c r="VQQ5" s="152"/>
      <c r="VQR5" s="152"/>
      <c r="VQS5" s="152"/>
      <c r="VQT5" s="152"/>
      <c r="VQU5" s="152"/>
      <c r="VQV5" s="152"/>
      <c r="VQW5" s="152"/>
      <c r="VQX5" s="152"/>
      <c r="VQY5" s="152"/>
      <c r="VQZ5" s="152"/>
      <c r="VRA5" s="152"/>
      <c r="VRB5" s="152"/>
      <c r="VRC5" s="152"/>
      <c r="VRD5" s="152"/>
      <c r="VRE5" s="152"/>
      <c r="VRF5" s="152"/>
      <c r="VRG5" s="152"/>
      <c r="VRH5" s="152"/>
      <c r="VRI5" s="152"/>
      <c r="VRJ5" s="152"/>
      <c r="VRK5" s="152"/>
      <c r="VRL5" s="152"/>
      <c r="VRM5" s="152"/>
      <c r="VRN5" s="152"/>
      <c r="VRO5" s="152"/>
      <c r="VRP5" s="152"/>
      <c r="VRQ5" s="152"/>
      <c r="VRR5" s="152"/>
      <c r="VRS5" s="152"/>
      <c r="VRT5" s="152"/>
      <c r="VRU5" s="152"/>
      <c r="VRV5" s="152"/>
      <c r="VRW5" s="152"/>
      <c r="VRX5" s="152"/>
      <c r="VRY5" s="152"/>
      <c r="VRZ5" s="152"/>
      <c r="VSA5" s="152"/>
      <c r="VSB5" s="152"/>
      <c r="VSC5" s="152"/>
      <c r="VSD5" s="152"/>
      <c r="VSE5" s="152"/>
      <c r="VSF5" s="152"/>
      <c r="VSG5" s="152"/>
      <c r="VSH5" s="152"/>
      <c r="VSI5" s="152"/>
      <c r="VSJ5" s="152"/>
      <c r="VSK5" s="152"/>
      <c r="VSL5" s="152"/>
      <c r="VSM5" s="152"/>
      <c r="VSN5" s="152"/>
      <c r="VSO5" s="152"/>
      <c r="VSP5" s="152"/>
      <c r="VSQ5" s="152"/>
      <c r="VSR5" s="152"/>
      <c r="VSS5" s="152"/>
      <c r="VST5" s="152"/>
      <c r="VSU5" s="152"/>
      <c r="VSV5" s="152"/>
      <c r="VSW5" s="152"/>
      <c r="VSX5" s="152"/>
      <c r="VSY5" s="152"/>
      <c r="VSZ5" s="152"/>
      <c r="VTA5" s="152"/>
      <c r="VTB5" s="152"/>
      <c r="VTC5" s="152"/>
      <c r="VTD5" s="152"/>
      <c r="VTE5" s="152"/>
      <c r="VTF5" s="152"/>
      <c r="VTG5" s="152"/>
      <c r="VTH5" s="152"/>
      <c r="VTI5" s="152"/>
      <c r="VTJ5" s="152"/>
      <c r="VTK5" s="152"/>
      <c r="VTL5" s="152"/>
      <c r="VTM5" s="152"/>
      <c r="VTN5" s="152"/>
      <c r="VTO5" s="152"/>
      <c r="VTP5" s="152"/>
      <c r="VTQ5" s="152"/>
      <c r="VTR5" s="152"/>
      <c r="VTS5" s="152"/>
      <c r="VTT5" s="152"/>
      <c r="VTU5" s="152"/>
      <c r="VTV5" s="152"/>
      <c r="VTW5" s="152"/>
      <c r="VTX5" s="152"/>
      <c r="VTY5" s="152"/>
      <c r="VTZ5" s="152"/>
      <c r="VUA5" s="152"/>
      <c r="VUB5" s="152"/>
      <c r="VUC5" s="152"/>
      <c r="VUD5" s="152"/>
      <c r="VUE5" s="152"/>
      <c r="VUF5" s="152"/>
      <c r="VUG5" s="152"/>
      <c r="VUH5" s="152"/>
      <c r="VUI5" s="152"/>
      <c r="VUJ5" s="152"/>
      <c r="VUK5" s="152"/>
      <c r="VUL5" s="152"/>
      <c r="VUM5" s="152"/>
      <c r="VUN5" s="152"/>
      <c r="VUO5" s="152"/>
      <c r="VUP5" s="152"/>
      <c r="VUQ5" s="152"/>
      <c r="VUR5" s="152"/>
      <c r="VUS5" s="152"/>
      <c r="VUT5" s="152"/>
      <c r="VUU5" s="152"/>
      <c r="VUV5" s="152"/>
      <c r="VUW5" s="152"/>
      <c r="VUX5" s="152"/>
      <c r="VUY5" s="152"/>
      <c r="VUZ5" s="152"/>
      <c r="VVA5" s="152"/>
      <c r="VVB5" s="152"/>
      <c r="VVC5" s="152"/>
      <c r="VVD5" s="152"/>
      <c r="VVE5" s="152"/>
      <c r="VVF5" s="152"/>
      <c r="VVG5" s="152"/>
      <c r="VVH5" s="152"/>
      <c r="VVI5" s="152"/>
      <c r="VVJ5" s="152"/>
      <c r="VVK5" s="152"/>
      <c r="VVL5" s="152"/>
      <c r="VVM5" s="152"/>
      <c r="VVN5" s="152"/>
      <c r="VVO5" s="152"/>
      <c r="VVP5" s="152"/>
      <c r="VVQ5" s="152"/>
      <c r="VVR5" s="152"/>
      <c r="VVS5" s="152"/>
      <c r="VVT5" s="152"/>
      <c r="VVU5" s="152"/>
      <c r="VVV5" s="152"/>
      <c r="VVW5" s="152"/>
      <c r="VVX5" s="152"/>
      <c r="VVY5" s="152"/>
      <c r="VVZ5" s="152"/>
      <c r="VWA5" s="152"/>
      <c r="VWB5" s="152"/>
      <c r="VWC5" s="152"/>
      <c r="VWD5" s="152"/>
      <c r="VWE5" s="152"/>
      <c r="VWF5" s="152"/>
      <c r="VWG5" s="152"/>
      <c r="VWH5" s="152"/>
      <c r="VWI5" s="152"/>
      <c r="VWJ5" s="152"/>
      <c r="VWK5" s="152"/>
      <c r="VWL5" s="152"/>
      <c r="VWM5" s="152"/>
      <c r="VWN5" s="152"/>
      <c r="VWO5" s="152"/>
      <c r="VWP5" s="152"/>
      <c r="VWQ5" s="152"/>
      <c r="VWR5" s="152"/>
      <c r="VWS5" s="152"/>
      <c r="VWT5" s="152"/>
      <c r="VWU5" s="152"/>
      <c r="VWV5" s="152"/>
      <c r="VWW5" s="152"/>
      <c r="VWX5" s="152"/>
      <c r="VWY5" s="152"/>
      <c r="VWZ5" s="152"/>
      <c r="VXA5" s="152"/>
      <c r="VXB5" s="152"/>
      <c r="VXC5" s="152"/>
      <c r="VXD5" s="152"/>
      <c r="VXE5" s="152"/>
      <c r="VXF5" s="152"/>
      <c r="VXG5" s="152"/>
      <c r="VXH5" s="152"/>
      <c r="VXI5" s="152"/>
      <c r="VXJ5" s="152"/>
      <c r="VXK5" s="152"/>
      <c r="VXL5" s="152"/>
      <c r="VXM5" s="152"/>
      <c r="VXN5" s="152"/>
      <c r="VXO5" s="152"/>
      <c r="VXP5" s="152"/>
      <c r="VXQ5" s="152"/>
      <c r="VXR5" s="152"/>
      <c r="VXS5" s="152"/>
      <c r="VXT5" s="152"/>
      <c r="VXU5" s="152"/>
      <c r="VXV5" s="152"/>
      <c r="VXW5" s="152"/>
      <c r="VXX5" s="152"/>
      <c r="VXY5" s="152"/>
      <c r="VXZ5" s="152"/>
      <c r="VYA5" s="152"/>
      <c r="VYB5" s="152"/>
      <c r="VYC5" s="152"/>
      <c r="VYD5" s="152"/>
      <c r="VYE5" s="152"/>
      <c r="VYF5" s="152"/>
      <c r="VYG5" s="152"/>
      <c r="VYH5" s="152"/>
      <c r="VYI5" s="152"/>
      <c r="VYJ5" s="152"/>
      <c r="VYK5" s="152"/>
      <c r="VYL5" s="152"/>
      <c r="VYM5" s="152"/>
      <c r="VYN5" s="152"/>
      <c r="VYO5" s="152"/>
      <c r="VYP5" s="152"/>
      <c r="VYQ5" s="152"/>
      <c r="VYR5" s="152"/>
      <c r="VYS5" s="152"/>
      <c r="VYT5" s="152"/>
      <c r="VYU5" s="152"/>
      <c r="VYV5" s="152"/>
      <c r="VYW5" s="152"/>
      <c r="VYX5" s="152"/>
      <c r="VYY5" s="152"/>
      <c r="VYZ5" s="152"/>
      <c r="VZA5" s="152"/>
      <c r="VZB5" s="152"/>
      <c r="VZC5" s="152"/>
      <c r="VZD5" s="152"/>
      <c r="VZE5" s="152"/>
      <c r="VZF5" s="152"/>
      <c r="VZG5" s="152"/>
      <c r="VZH5" s="152"/>
      <c r="VZI5" s="152"/>
      <c r="VZJ5" s="152"/>
      <c r="VZK5" s="152"/>
      <c r="VZL5" s="152"/>
      <c r="VZM5" s="152"/>
      <c r="VZN5" s="152"/>
      <c r="VZO5" s="152"/>
      <c r="VZP5" s="152"/>
      <c r="VZQ5" s="152"/>
      <c r="VZR5" s="152"/>
      <c r="VZS5" s="152"/>
      <c r="VZT5" s="152"/>
      <c r="VZU5" s="152"/>
      <c r="VZV5" s="152"/>
      <c r="VZW5" s="152"/>
      <c r="VZX5" s="152"/>
      <c r="VZY5" s="152"/>
      <c r="VZZ5" s="152"/>
      <c r="WAA5" s="152"/>
      <c r="WAB5" s="152"/>
      <c r="WAC5" s="152"/>
      <c r="WAD5" s="152"/>
      <c r="WAE5" s="152"/>
      <c r="WAF5" s="152"/>
      <c r="WAG5" s="152"/>
      <c r="WAH5" s="152"/>
      <c r="WAI5" s="152"/>
      <c r="WAJ5" s="152"/>
      <c r="WAK5" s="152"/>
      <c r="WAL5" s="152"/>
      <c r="WAM5" s="152"/>
      <c r="WAN5" s="152"/>
      <c r="WAO5" s="152"/>
      <c r="WAP5" s="152"/>
      <c r="WAQ5" s="152"/>
      <c r="WAR5" s="152"/>
      <c r="WAS5" s="152"/>
      <c r="WAT5" s="152"/>
      <c r="WAU5" s="152"/>
      <c r="WAV5" s="152"/>
      <c r="WAW5" s="152"/>
      <c r="WAX5" s="152"/>
      <c r="WAY5" s="152"/>
      <c r="WAZ5" s="152"/>
      <c r="WBA5" s="152"/>
      <c r="WBB5" s="152"/>
      <c r="WBC5" s="152"/>
      <c r="WBD5" s="152"/>
      <c r="WBE5" s="152"/>
      <c r="WBF5" s="152"/>
      <c r="WBG5" s="152"/>
      <c r="WBH5" s="152"/>
      <c r="WBI5" s="152"/>
      <c r="WBJ5" s="152"/>
      <c r="WBK5" s="152"/>
      <c r="WBL5" s="152"/>
      <c r="WBM5" s="152"/>
      <c r="WBN5" s="152"/>
      <c r="WBO5" s="152"/>
      <c r="WBP5" s="152"/>
      <c r="WBQ5" s="152"/>
      <c r="WBR5" s="152"/>
      <c r="WBS5" s="152"/>
      <c r="WBT5" s="152"/>
      <c r="WBU5" s="152"/>
      <c r="WBV5" s="152"/>
      <c r="WBW5" s="152"/>
      <c r="WBX5" s="152"/>
      <c r="WBY5" s="152"/>
      <c r="WBZ5" s="152"/>
      <c r="WCA5" s="152"/>
      <c r="WCB5" s="152"/>
      <c r="WCC5" s="152"/>
      <c r="WCD5" s="152"/>
      <c r="WCE5" s="152"/>
      <c r="WCF5" s="152"/>
      <c r="WCG5" s="152"/>
      <c r="WCH5" s="152"/>
      <c r="WCI5" s="152"/>
      <c r="WCJ5" s="152"/>
      <c r="WCK5" s="152"/>
      <c r="WCL5" s="152"/>
      <c r="WCM5" s="152"/>
      <c r="WCN5" s="152"/>
      <c r="WCO5" s="152"/>
      <c r="WCP5" s="152"/>
      <c r="WCQ5" s="152"/>
      <c r="WCR5" s="152"/>
      <c r="WCS5" s="152"/>
      <c r="WCT5" s="152"/>
      <c r="WCU5" s="152"/>
      <c r="WCV5" s="152"/>
      <c r="WCW5" s="152"/>
      <c r="WCX5" s="152"/>
      <c r="WCY5" s="152"/>
      <c r="WCZ5" s="152"/>
      <c r="WDA5" s="152"/>
      <c r="WDB5" s="152"/>
      <c r="WDC5" s="152"/>
      <c r="WDD5" s="152"/>
      <c r="WDE5" s="152"/>
      <c r="WDF5" s="152"/>
      <c r="WDG5" s="152"/>
      <c r="WDH5" s="152"/>
      <c r="WDI5" s="152"/>
      <c r="WDJ5" s="152"/>
      <c r="WDK5" s="152"/>
      <c r="WDL5" s="152"/>
      <c r="WDM5" s="152"/>
      <c r="WDN5" s="152"/>
      <c r="WDO5" s="152"/>
      <c r="WDP5" s="152"/>
      <c r="WDQ5" s="152"/>
      <c r="WDR5" s="152"/>
      <c r="WDS5" s="152"/>
      <c r="WDT5" s="152"/>
      <c r="WDU5" s="152"/>
      <c r="WDV5" s="152"/>
      <c r="WDW5" s="152"/>
      <c r="WDX5" s="152"/>
      <c r="WDY5" s="152"/>
      <c r="WDZ5" s="152"/>
      <c r="WEA5" s="152"/>
      <c r="WEB5" s="152"/>
      <c r="WEC5" s="152"/>
      <c r="WED5" s="152"/>
      <c r="WEE5" s="152"/>
      <c r="WEF5" s="152"/>
      <c r="WEG5" s="152"/>
      <c r="WEH5" s="152"/>
      <c r="WEI5" s="152"/>
      <c r="WEJ5" s="152"/>
      <c r="WEK5" s="152"/>
      <c r="WEL5" s="152"/>
      <c r="WEM5" s="152"/>
      <c r="WEN5" s="152"/>
      <c r="WEO5" s="152"/>
      <c r="WEP5" s="152"/>
      <c r="WEQ5" s="152"/>
      <c r="WER5" s="152"/>
      <c r="WES5" s="152"/>
      <c r="WET5" s="152"/>
      <c r="WEU5" s="152"/>
      <c r="WEV5" s="152"/>
      <c r="WEW5" s="152"/>
      <c r="WEX5" s="152"/>
      <c r="WEY5" s="152"/>
      <c r="WEZ5" s="152"/>
      <c r="WFA5" s="152"/>
      <c r="WFB5" s="152"/>
      <c r="WFC5" s="152"/>
      <c r="WFD5" s="152"/>
      <c r="WFE5" s="152"/>
      <c r="WFF5" s="152"/>
      <c r="WFG5" s="152"/>
      <c r="WFH5" s="152"/>
      <c r="WFI5" s="152"/>
      <c r="WFJ5" s="152"/>
      <c r="WFK5" s="152"/>
      <c r="WFL5" s="152"/>
      <c r="WFM5" s="152"/>
      <c r="WFN5" s="152"/>
      <c r="WFO5" s="152"/>
      <c r="WFP5" s="152"/>
      <c r="WFQ5" s="152"/>
      <c r="WFR5" s="152"/>
      <c r="WFS5" s="152"/>
      <c r="WFT5" s="152"/>
      <c r="WFU5" s="152"/>
      <c r="WFV5" s="152"/>
      <c r="WFW5" s="152"/>
      <c r="WFX5" s="152"/>
      <c r="WFY5" s="152"/>
      <c r="WFZ5" s="152"/>
      <c r="WGA5" s="152"/>
      <c r="WGB5" s="152"/>
      <c r="WGC5" s="152"/>
      <c r="WGD5" s="152"/>
      <c r="WGE5" s="152"/>
      <c r="WGF5" s="152"/>
      <c r="WGG5" s="152"/>
      <c r="WGH5" s="152"/>
      <c r="WGI5" s="152"/>
      <c r="WGJ5" s="152"/>
      <c r="WGK5" s="152"/>
      <c r="WGL5" s="152"/>
      <c r="WGM5" s="152"/>
      <c r="WGN5" s="152"/>
      <c r="WGO5" s="152"/>
      <c r="WGP5" s="152"/>
      <c r="WGQ5" s="152"/>
      <c r="WGR5" s="152"/>
      <c r="WGS5" s="152"/>
      <c r="WGT5" s="152"/>
      <c r="WGU5" s="152"/>
      <c r="WGV5" s="152"/>
      <c r="WGW5" s="152"/>
      <c r="WGX5" s="152"/>
      <c r="WGY5" s="152"/>
      <c r="WGZ5" s="152"/>
      <c r="WHA5" s="152"/>
      <c r="WHB5" s="152"/>
      <c r="WHC5" s="152"/>
      <c r="WHD5" s="152"/>
      <c r="WHE5" s="152"/>
      <c r="WHF5" s="152"/>
      <c r="WHG5" s="152"/>
      <c r="WHH5" s="152"/>
      <c r="WHI5" s="152"/>
      <c r="WHJ5" s="152"/>
      <c r="WHK5" s="152"/>
      <c r="WHL5" s="152"/>
      <c r="WHM5" s="152"/>
      <c r="WHN5" s="152"/>
      <c r="WHO5" s="152"/>
      <c r="WHP5" s="152"/>
      <c r="WHQ5" s="152"/>
      <c r="WHR5" s="152"/>
      <c r="WHS5" s="152"/>
      <c r="WHT5" s="152"/>
      <c r="WHU5" s="152"/>
      <c r="WHV5" s="152"/>
      <c r="WHW5" s="152"/>
      <c r="WHX5" s="152"/>
      <c r="WHY5" s="152"/>
      <c r="WHZ5" s="152"/>
      <c r="WIA5" s="152"/>
      <c r="WIB5" s="152"/>
      <c r="WIC5" s="152"/>
      <c r="WID5" s="152"/>
      <c r="WIE5" s="152"/>
      <c r="WIF5" s="152"/>
      <c r="WIG5" s="152"/>
      <c r="WIH5" s="152"/>
      <c r="WII5" s="152"/>
      <c r="WIJ5" s="152"/>
      <c r="WIK5" s="152"/>
      <c r="WIL5" s="152"/>
      <c r="WIM5" s="152"/>
      <c r="WIN5" s="152"/>
      <c r="WIO5" s="152"/>
      <c r="WIP5" s="152"/>
      <c r="WIQ5" s="152"/>
      <c r="WIR5" s="152"/>
      <c r="WIS5" s="152"/>
      <c r="WIT5" s="152"/>
      <c r="WIU5" s="152"/>
      <c r="WIV5" s="152"/>
      <c r="WIW5" s="152"/>
      <c r="WIX5" s="152"/>
      <c r="WIY5" s="152"/>
      <c r="WIZ5" s="152"/>
      <c r="WJA5" s="152"/>
      <c r="WJB5" s="152"/>
      <c r="WJC5" s="152"/>
      <c r="WJD5" s="152"/>
      <c r="WJE5" s="152"/>
      <c r="WJF5" s="152"/>
      <c r="WJG5" s="152"/>
      <c r="WJH5" s="152"/>
      <c r="WJI5" s="152"/>
      <c r="WJJ5" s="152"/>
      <c r="WJK5" s="152"/>
      <c r="WJL5" s="152"/>
      <c r="WJM5" s="152"/>
      <c r="WJN5" s="152"/>
      <c r="WJO5" s="152"/>
      <c r="WJP5" s="152"/>
      <c r="WJQ5" s="152"/>
      <c r="WJR5" s="152"/>
      <c r="WJS5" s="152"/>
      <c r="WJT5" s="152"/>
      <c r="WJU5" s="152"/>
      <c r="WJV5" s="152"/>
      <c r="WJW5" s="152"/>
      <c r="WJX5" s="152"/>
      <c r="WJY5" s="152"/>
      <c r="WJZ5" s="152"/>
      <c r="WKA5" s="152"/>
      <c r="WKB5" s="152"/>
      <c r="WKC5" s="152"/>
      <c r="WKD5" s="152"/>
      <c r="WKE5" s="152"/>
      <c r="WKF5" s="152"/>
      <c r="WKG5" s="152"/>
      <c r="WKH5" s="152"/>
      <c r="WKI5" s="152"/>
      <c r="WKJ5" s="152"/>
      <c r="WKK5" s="152"/>
      <c r="WKL5" s="152"/>
      <c r="WKM5" s="152"/>
      <c r="WKN5" s="152"/>
      <c r="WKO5" s="152"/>
      <c r="WKP5" s="152"/>
      <c r="WKQ5" s="152"/>
      <c r="WKR5" s="152"/>
      <c r="WKS5" s="152"/>
      <c r="WKT5" s="152"/>
      <c r="WKU5" s="152"/>
      <c r="WKV5" s="152"/>
      <c r="WKW5" s="152"/>
      <c r="WKX5" s="152"/>
      <c r="WKY5" s="152"/>
      <c r="WKZ5" s="152"/>
      <c r="WLA5" s="152"/>
      <c r="WLB5" s="152"/>
      <c r="WLC5" s="152"/>
      <c r="WLD5" s="152"/>
      <c r="WLE5" s="152"/>
      <c r="WLF5" s="152"/>
      <c r="WLG5" s="152"/>
      <c r="WLH5" s="152"/>
      <c r="WLI5" s="152"/>
      <c r="WLJ5" s="152"/>
      <c r="WLK5" s="152"/>
      <c r="WLL5" s="152"/>
      <c r="WLM5" s="152"/>
      <c r="WLN5" s="152"/>
      <c r="WLO5" s="152"/>
      <c r="WLP5" s="152"/>
      <c r="WLQ5" s="152"/>
      <c r="WLR5" s="152"/>
      <c r="WLS5" s="152"/>
      <c r="WLT5" s="152"/>
      <c r="WLU5" s="152"/>
      <c r="WLV5" s="152"/>
      <c r="WLW5" s="152"/>
      <c r="WLX5" s="152"/>
      <c r="WLY5" s="152"/>
      <c r="WLZ5" s="152"/>
      <c r="WMA5" s="152"/>
      <c r="WMB5" s="152"/>
      <c r="WMC5" s="152"/>
      <c r="WMD5" s="152"/>
      <c r="WME5" s="152"/>
      <c r="WMF5" s="152"/>
      <c r="WMG5" s="152"/>
      <c r="WMH5" s="152"/>
      <c r="WMI5" s="152"/>
      <c r="WMJ5" s="152"/>
      <c r="WMK5" s="152"/>
      <c r="WML5" s="152"/>
      <c r="WMM5" s="152"/>
      <c r="WMN5" s="152"/>
      <c r="WMO5" s="152"/>
      <c r="WMP5" s="152"/>
      <c r="WMQ5" s="152"/>
      <c r="WMR5" s="152"/>
      <c r="WMS5" s="152"/>
      <c r="WMT5" s="152"/>
      <c r="WMU5" s="152"/>
      <c r="WMV5" s="152"/>
      <c r="WMW5" s="152"/>
      <c r="WMX5" s="152"/>
      <c r="WMY5" s="152"/>
      <c r="WMZ5" s="152"/>
      <c r="WNA5" s="152"/>
      <c r="WNB5" s="152"/>
      <c r="WNC5" s="152"/>
      <c r="WND5" s="152"/>
      <c r="WNE5" s="152"/>
      <c r="WNF5" s="152"/>
      <c r="WNG5" s="152"/>
      <c r="WNH5" s="152"/>
      <c r="WNI5" s="152"/>
      <c r="WNJ5" s="152"/>
      <c r="WNK5" s="152"/>
      <c r="WNL5" s="152"/>
      <c r="WNM5" s="152"/>
      <c r="WNN5" s="152"/>
      <c r="WNO5" s="152"/>
      <c r="WNP5" s="152"/>
      <c r="WNQ5" s="152"/>
      <c r="WNR5" s="152"/>
      <c r="WNS5" s="152"/>
      <c r="WNT5" s="152"/>
      <c r="WNU5" s="152"/>
      <c r="WNV5" s="152"/>
      <c r="WNW5" s="152"/>
      <c r="WNX5" s="152"/>
      <c r="WNY5" s="152"/>
      <c r="WNZ5" s="152"/>
      <c r="WOA5" s="152"/>
      <c r="WOB5" s="152"/>
      <c r="WOC5" s="152"/>
      <c r="WOD5" s="152"/>
      <c r="WOE5" s="152"/>
      <c r="WOF5" s="152"/>
      <c r="WOG5" s="152"/>
      <c r="WOH5" s="152"/>
      <c r="WOI5" s="152"/>
      <c r="WOJ5" s="152"/>
      <c r="WOK5" s="152"/>
      <c r="WOL5" s="152"/>
      <c r="WOM5" s="152"/>
      <c r="WON5" s="152"/>
      <c r="WOO5" s="152"/>
      <c r="WOP5" s="152"/>
      <c r="WOQ5" s="152"/>
      <c r="WOR5" s="152"/>
      <c r="WOS5" s="152"/>
      <c r="WOT5" s="152"/>
      <c r="WOU5" s="152"/>
      <c r="WOV5" s="152"/>
      <c r="WOW5" s="152"/>
      <c r="WOX5" s="152"/>
      <c r="WOY5" s="152"/>
      <c r="WOZ5" s="152"/>
      <c r="WPA5" s="152"/>
      <c r="WPB5" s="152"/>
      <c r="WPC5" s="152"/>
      <c r="WPD5" s="152"/>
      <c r="WPE5" s="152"/>
      <c r="WPF5" s="152"/>
      <c r="WPG5" s="152"/>
      <c r="WPH5" s="152"/>
      <c r="WPI5" s="152"/>
      <c r="WPJ5" s="152"/>
      <c r="WPK5" s="152"/>
      <c r="WPL5" s="152"/>
      <c r="WPM5" s="152"/>
      <c r="WPN5" s="152"/>
      <c r="WPO5" s="152"/>
      <c r="WPP5" s="152"/>
      <c r="WPQ5" s="152"/>
      <c r="WPR5" s="152"/>
      <c r="WPS5" s="152"/>
      <c r="WPT5" s="152"/>
      <c r="WPU5" s="152"/>
      <c r="WPV5" s="152"/>
      <c r="WPW5" s="152"/>
      <c r="WPX5" s="152"/>
      <c r="WPY5" s="152"/>
      <c r="WPZ5" s="152"/>
      <c r="WQA5" s="152"/>
      <c r="WQB5" s="152"/>
      <c r="WQC5" s="152"/>
      <c r="WQD5" s="152"/>
      <c r="WQE5" s="152"/>
      <c r="WQF5" s="152"/>
      <c r="WQG5" s="152"/>
      <c r="WQH5" s="152"/>
      <c r="WQI5" s="152"/>
      <c r="WQJ5" s="152"/>
      <c r="WQK5" s="152"/>
      <c r="WQL5" s="152"/>
      <c r="WQM5" s="152"/>
      <c r="WQN5" s="152"/>
      <c r="WQO5" s="152"/>
      <c r="WQP5" s="152"/>
      <c r="WQQ5" s="152"/>
      <c r="WQR5" s="152"/>
      <c r="WQS5" s="152"/>
      <c r="WQT5" s="152"/>
      <c r="WQU5" s="152"/>
      <c r="WQV5" s="152"/>
      <c r="WQW5" s="152"/>
      <c r="WQX5" s="152"/>
      <c r="WQY5" s="152"/>
      <c r="WQZ5" s="152"/>
      <c r="WRA5" s="152"/>
      <c r="WRB5" s="152"/>
      <c r="WRC5" s="152"/>
      <c r="WRD5" s="152"/>
      <c r="WRE5" s="152"/>
      <c r="WRF5" s="152"/>
      <c r="WRG5" s="152"/>
      <c r="WRH5" s="152"/>
      <c r="WRI5" s="152"/>
      <c r="WRJ5" s="152"/>
      <c r="WRK5" s="152"/>
      <c r="WRL5" s="152"/>
      <c r="WRM5" s="152"/>
      <c r="WRN5" s="152"/>
      <c r="WRO5" s="152"/>
      <c r="WRP5" s="152"/>
      <c r="WRQ5" s="152"/>
      <c r="WRR5" s="152"/>
      <c r="WRS5" s="152"/>
      <c r="WRT5" s="152"/>
      <c r="WRU5" s="152"/>
      <c r="WRV5" s="152"/>
      <c r="WRW5" s="152"/>
      <c r="WRX5" s="152"/>
      <c r="WRY5" s="152"/>
      <c r="WRZ5" s="152"/>
      <c r="WSA5" s="152"/>
      <c r="WSB5" s="152"/>
      <c r="WSC5" s="152"/>
      <c r="WSD5" s="152"/>
      <c r="WSE5" s="152"/>
      <c r="WSF5" s="152"/>
      <c r="WSG5" s="152"/>
      <c r="WSH5" s="152"/>
      <c r="WSI5" s="152"/>
      <c r="WSJ5" s="152"/>
      <c r="WSK5" s="152"/>
      <c r="WSL5" s="152"/>
      <c r="WSM5" s="152"/>
      <c r="WSN5" s="152"/>
      <c r="WSO5" s="152"/>
      <c r="WSP5" s="152"/>
      <c r="WSQ5" s="152"/>
      <c r="WSR5" s="152"/>
      <c r="WSS5" s="152"/>
      <c r="WST5" s="152"/>
      <c r="WSU5" s="152"/>
      <c r="WSV5" s="152"/>
      <c r="WSW5" s="152"/>
      <c r="WSX5" s="152"/>
      <c r="WSY5" s="152"/>
      <c r="WSZ5" s="152"/>
      <c r="WTA5" s="152"/>
      <c r="WTB5" s="152"/>
      <c r="WTC5" s="152"/>
      <c r="WTD5" s="152"/>
      <c r="WTE5" s="152"/>
      <c r="WTF5" s="152"/>
      <c r="WTG5" s="152"/>
      <c r="WTH5" s="152"/>
      <c r="WTI5" s="152"/>
      <c r="WTJ5" s="152"/>
      <c r="WTK5" s="152"/>
      <c r="WTL5" s="152"/>
      <c r="WTM5" s="152"/>
      <c r="WTN5" s="152"/>
      <c r="WTO5" s="152"/>
      <c r="WTP5" s="152"/>
      <c r="WTQ5" s="152"/>
      <c r="WTR5" s="152"/>
      <c r="WTS5" s="152"/>
      <c r="WTT5" s="152"/>
      <c r="WTU5" s="152"/>
      <c r="WTV5" s="152"/>
      <c r="WTW5" s="152"/>
      <c r="WTX5" s="152"/>
      <c r="WTY5" s="152"/>
      <c r="WTZ5" s="152"/>
      <c r="WUA5" s="152"/>
      <c r="WUB5" s="152"/>
      <c r="WUC5" s="152"/>
      <c r="WUD5" s="152"/>
      <c r="WUE5" s="152"/>
      <c r="WUF5" s="152"/>
      <c r="WUG5" s="152"/>
      <c r="WUH5" s="152"/>
      <c r="WUI5" s="152"/>
      <c r="WUJ5" s="152"/>
      <c r="WUK5" s="152"/>
      <c r="WUL5" s="152"/>
      <c r="WUM5" s="152"/>
      <c r="WUN5" s="152"/>
      <c r="WUO5" s="152"/>
      <c r="WUP5" s="152"/>
      <c r="WUQ5" s="152"/>
      <c r="WUR5" s="152"/>
      <c r="WUS5" s="152"/>
      <c r="WUT5" s="152"/>
      <c r="WUU5" s="152"/>
      <c r="WUV5" s="152"/>
      <c r="WUW5" s="152"/>
      <c r="WUX5" s="152"/>
      <c r="WUY5" s="152"/>
      <c r="WUZ5" s="152"/>
      <c r="WVA5" s="152"/>
      <c r="WVB5" s="152"/>
      <c r="WVC5" s="152"/>
      <c r="WVD5" s="152"/>
      <c r="WVE5" s="152"/>
      <c r="WVF5" s="152"/>
      <c r="WVG5" s="152"/>
      <c r="WVH5" s="152"/>
      <c r="WVI5" s="152"/>
      <c r="WVJ5" s="152"/>
      <c r="WVK5" s="152"/>
      <c r="WVL5" s="152"/>
      <c r="WVM5" s="152"/>
      <c r="WVN5" s="152"/>
      <c r="WVO5" s="152"/>
      <c r="WVP5" s="152"/>
      <c r="WVQ5" s="152"/>
      <c r="WVR5" s="152"/>
      <c r="WVS5" s="152"/>
      <c r="WVT5" s="152"/>
      <c r="WVU5" s="152"/>
      <c r="WVV5" s="152"/>
      <c r="WVW5" s="152"/>
      <c r="WVX5" s="152"/>
      <c r="WVY5" s="152"/>
      <c r="WVZ5" s="152"/>
      <c r="WWA5" s="152"/>
      <c r="WWB5" s="152"/>
      <c r="WWC5" s="152"/>
      <c r="WWD5" s="152"/>
      <c r="WWE5" s="152"/>
      <c r="WWF5" s="152"/>
      <c r="WWG5" s="152"/>
      <c r="WWH5" s="152"/>
      <c r="WWI5" s="152"/>
      <c r="WWJ5" s="152"/>
      <c r="WWK5" s="152"/>
      <c r="WWL5" s="152"/>
      <c r="WWM5" s="152"/>
      <c r="WWN5" s="152"/>
      <c r="WWO5" s="152"/>
      <c r="WWP5" s="152"/>
      <c r="WWQ5" s="152"/>
      <c r="WWR5" s="152"/>
      <c r="WWS5" s="152"/>
      <c r="WWT5" s="152"/>
      <c r="WWU5" s="152"/>
      <c r="WWV5" s="152"/>
      <c r="WWW5" s="152"/>
      <c r="WWX5" s="152"/>
      <c r="WWY5" s="152"/>
      <c r="WWZ5" s="152"/>
      <c r="WXA5" s="152"/>
      <c r="WXB5" s="152"/>
      <c r="WXC5" s="152"/>
      <c r="WXD5" s="152"/>
      <c r="WXE5" s="152"/>
      <c r="WXF5" s="152"/>
      <c r="WXG5" s="152"/>
      <c r="WXH5" s="152"/>
      <c r="WXI5" s="152"/>
      <c r="WXJ5" s="152"/>
      <c r="WXK5" s="152"/>
      <c r="WXL5" s="152"/>
      <c r="WXM5" s="152"/>
      <c r="WXN5" s="152"/>
      <c r="WXO5" s="152"/>
      <c r="WXP5" s="152"/>
      <c r="WXQ5" s="152"/>
      <c r="WXR5" s="152"/>
      <c r="WXS5" s="152"/>
      <c r="WXT5" s="152"/>
      <c r="WXU5" s="152"/>
      <c r="WXV5" s="152"/>
      <c r="WXW5" s="152"/>
      <c r="WXX5" s="152"/>
      <c r="WXY5" s="152"/>
      <c r="WXZ5" s="152"/>
      <c r="WYA5" s="152"/>
      <c r="WYB5" s="152"/>
      <c r="WYC5" s="152"/>
      <c r="WYD5" s="152"/>
      <c r="WYE5" s="152"/>
      <c r="WYF5" s="152"/>
      <c r="WYG5" s="152"/>
      <c r="WYH5" s="152"/>
      <c r="WYI5" s="152"/>
      <c r="WYJ5" s="152"/>
      <c r="WYK5" s="152"/>
      <c r="WYL5" s="152"/>
      <c r="WYM5" s="152"/>
      <c r="WYN5" s="152"/>
      <c r="WYO5" s="152"/>
      <c r="WYP5" s="152"/>
      <c r="WYQ5" s="152"/>
      <c r="WYR5" s="152"/>
      <c r="WYS5" s="152"/>
      <c r="WYT5" s="152"/>
      <c r="WYU5" s="152"/>
      <c r="WYV5" s="152"/>
      <c r="WYW5" s="152"/>
      <c r="WYX5" s="152"/>
      <c r="WYY5" s="152"/>
      <c r="WYZ5" s="152"/>
      <c r="WZA5" s="152"/>
      <c r="WZB5" s="152"/>
      <c r="WZC5" s="152"/>
      <c r="WZD5" s="152"/>
      <c r="WZE5" s="152"/>
      <c r="WZF5" s="152"/>
      <c r="WZG5" s="152"/>
      <c r="WZH5" s="152"/>
      <c r="WZI5" s="152"/>
      <c r="WZJ5" s="152"/>
      <c r="WZK5" s="152"/>
      <c r="WZL5" s="152"/>
      <c r="WZM5" s="152"/>
      <c r="WZN5" s="152"/>
      <c r="WZO5" s="152"/>
      <c r="WZP5" s="152"/>
      <c r="WZQ5" s="152"/>
      <c r="WZR5" s="152"/>
      <c r="WZS5" s="152"/>
      <c r="WZT5" s="152"/>
      <c r="WZU5" s="152"/>
      <c r="WZV5" s="152"/>
      <c r="WZW5" s="152"/>
      <c r="WZX5" s="152"/>
      <c r="WZY5" s="152"/>
      <c r="WZZ5" s="152"/>
      <c r="XAA5" s="152"/>
      <c r="XAB5" s="152"/>
      <c r="XAC5" s="152"/>
      <c r="XAD5" s="152"/>
      <c r="XAE5" s="152"/>
      <c r="XAF5" s="152"/>
      <c r="XAG5" s="152"/>
      <c r="XAH5" s="152"/>
      <c r="XAI5" s="152"/>
      <c r="XAJ5" s="152"/>
      <c r="XAK5" s="152"/>
      <c r="XAL5" s="152"/>
      <c r="XAM5" s="152"/>
      <c r="XAN5" s="152"/>
      <c r="XAO5" s="152"/>
      <c r="XAP5" s="152"/>
      <c r="XAQ5" s="152"/>
      <c r="XAR5" s="152"/>
      <c r="XAS5" s="152"/>
      <c r="XAT5" s="152"/>
      <c r="XAU5" s="152"/>
      <c r="XAV5" s="152"/>
      <c r="XAW5" s="152"/>
      <c r="XAX5" s="152"/>
      <c r="XAY5" s="152"/>
      <c r="XAZ5" s="152"/>
      <c r="XBA5" s="152"/>
      <c r="XBB5" s="152"/>
      <c r="XBC5" s="152"/>
      <c r="XBD5" s="152"/>
      <c r="XBE5" s="152"/>
      <c r="XBF5" s="152"/>
      <c r="XBG5" s="152"/>
      <c r="XBH5" s="152"/>
      <c r="XBI5" s="152"/>
      <c r="XBJ5" s="152"/>
      <c r="XBK5" s="152"/>
      <c r="XBL5" s="152"/>
      <c r="XBM5" s="152"/>
      <c r="XBN5" s="152"/>
      <c r="XBO5" s="152"/>
      <c r="XBP5" s="152"/>
      <c r="XBQ5" s="152"/>
      <c r="XBR5" s="152"/>
      <c r="XBS5" s="152"/>
      <c r="XBT5" s="152"/>
      <c r="XBU5" s="152"/>
      <c r="XBV5" s="152"/>
      <c r="XBW5" s="152"/>
      <c r="XBX5" s="152"/>
      <c r="XBY5" s="152"/>
      <c r="XBZ5" s="152"/>
      <c r="XCA5" s="152"/>
      <c r="XCB5" s="152"/>
      <c r="XCC5" s="152"/>
      <c r="XCD5" s="152"/>
      <c r="XCE5" s="152"/>
      <c r="XCF5" s="152"/>
      <c r="XCG5" s="152"/>
      <c r="XCH5" s="152"/>
      <c r="XCI5" s="152"/>
      <c r="XCJ5" s="152"/>
      <c r="XCK5" s="152"/>
      <c r="XCL5" s="152"/>
      <c r="XCM5" s="152"/>
      <c r="XCN5" s="152"/>
      <c r="XCO5" s="152"/>
      <c r="XCP5" s="152"/>
      <c r="XCQ5" s="152"/>
      <c r="XCR5" s="152"/>
      <c r="XCS5" s="152"/>
      <c r="XCT5" s="152"/>
      <c r="XCU5" s="152"/>
      <c r="XCV5" s="152"/>
      <c r="XCW5" s="152"/>
      <c r="XCX5" s="152"/>
      <c r="XCY5" s="152"/>
      <c r="XCZ5" s="152"/>
      <c r="XDA5" s="152"/>
      <c r="XDB5" s="152"/>
      <c r="XDC5" s="152"/>
      <c r="XDD5" s="152"/>
      <c r="XDE5" s="152"/>
      <c r="XDF5" s="152"/>
      <c r="XDG5" s="152"/>
      <c r="XDH5" s="152"/>
      <c r="XDI5" s="152"/>
      <c r="XDJ5" s="152"/>
      <c r="XDK5" s="152"/>
      <c r="XDL5" s="152"/>
      <c r="XDM5" s="152"/>
      <c r="XDN5" s="152"/>
      <c r="XDO5" s="152"/>
      <c r="XDP5" s="152"/>
      <c r="XDQ5" s="152"/>
      <c r="XDR5" s="152"/>
      <c r="XDS5" s="152"/>
      <c r="XDT5" s="152"/>
      <c r="XDU5" s="152"/>
      <c r="XDV5" s="152"/>
      <c r="XDW5" s="152"/>
      <c r="XDX5" s="152"/>
      <c r="XDY5" s="152"/>
      <c r="XDZ5" s="152"/>
      <c r="XEA5" s="152"/>
      <c r="XEB5" s="152"/>
      <c r="XEC5" s="152"/>
      <c r="XED5" s="152"/>
      <c r="XEE5" s="152"/>
      <c r="XEF5" s="152"/>
      <c r="XEG5" s="152"/>
      <c r="XEH5" s="152"/>
      <c r="XEI5" s="152"/>
    </row>
    <row r="6" spans="1:16363" s="152" customFormat="1" ht="34.5" customHeight="1" thickTop="1" thickBot="1" x14ac:dyDescent="0.3">
      <c r="A6" s="661"/>
      <c r="B6" s="661"/>
      <c r="C6" s="661"/>
      <c r="D6" s="406" t="s">
        <v>4</v>
      </c>
      <c r="E6" s="406" t="s">
        <v>5</v>
      </c>
      <c r="F6" s="406" t="s">
        <v>6</v>
      </c>
      <c r="G6" s="406" t="s">
        <v>7</v>
      </c>
      <c r="H6" s="406" t="s">
        <v>2</v>
      </c>
      <c r="I6" s="406" t="s">
        <v>3</v>
      </c>
      <c r="J6" s="406" t="s">
        <v>8</v>
      </c>
      <c r="K6" s="406" t="s">
        <v>9</v>
      </c>
      <c r="L6" s="406" t="s">
        <v>1963</v>
      </c>
      <c r="M6" s="406" t="s">
        <v>1964</v>
      </c>
    </row>
    <row r="7" spans="1:16363" s="142" customFormat="1" ht="61.5" customHeight="1" thickTop="1" thickBot="1" x14ac:dyDescent="0.25">
      <c r="A7" s="413" t="s">
        <v>1001</v>
      </c>
      <c r="B7" s="413" t="s">
        <v>2545</v>
      </c>
      <c r="C7" s="651" t="s">
        <v>18</v>
      </c>
      <c r="D7" s="654">
        <v>3</v>
      </c>
      <c r="E7" s="654">
        <v>30</v>
      </c>
      <c r="F7" s="654">
        <v>3</v>
      </c>
      <c r="G7" s="654">
        <v>848</v>
      </c>
      <c r="H7" s="711">
        <v>6220189793</v>
      </c>
      <c r="I7" s="711">
        <f>1990681500+2856929000</f>
        <v>4847610500</v>
      </c>
      <c r="J7" s="416" t="s">
        <v>957</v>
      </c>
      <c r="K7" s="418" t="s">
        <v>20</v>
      </c>
      <c r="L7" s="464">
        <v>1820</v>
      </c>
      <c r="M7" s="464">
        <v>1820</v>
      </c>
    </row>
    <row r="8" spans="1:16363" s="142" customFormat="1" ht="38.25" customHeight="1" thickTop="1" thickBot="1" x14ac:dyDescent="0.25">
      <c r="A8" s="413" t="s">
        <v>1001</v>
      </c>
      <c r="B8" s="625" t="s">
        <v>2545</v>
      </c>
      <c r="C8" s="653"/>
      <c r="D8" s="654"/>
      <c r="E8" s="654"/>
      <c r="F8" s="654"/>
      <c r="G8" s="654"/>
      <c r="H8" s="711"/>
      <c r="I8" s="711"/>
      <c r="J8" s="416" t="s">
        <v>958</v>
      </c>
      <c r="K8" s="418" t="s">
        <v>75</v>
      </c>
      <c r="L8" s="464">
        <v>396190</v>
      </c>
      <c r="M8" s="464">
        <v>308765</v>
      </c>
    </row>
    <row r="9" spans="1:16363" s="142" customFormat="1" ht="31.5" thickTop="1" thickBot="1" x14ac:dyDescent="0.25">
      <c r="A9" s="413" t="s">
        <v>1001</v>
      </c>
      <c r="B9" s="625" t="s">
        <v>2545</v>
      </c>
      <c r="C9" s="654" t="s">
        <v>53</v>
      </c>
      <c r="D9" s="413">
        <v>3</v>
      </c>
      <c r="E9" s="413">
        <v>30</v>
      </c>
      <c r="F9" s="413">
        <v>3</v>
      </c>
      <c r="G9" s="413">
        <v>520</v>
      </c>
      <c r="H9" s="467">
        <f>1957732794+5000000000+1594220877+4104350006</f>
        <v>12656303677</v>
      </c>
      <c r="I9" s="467">
        <v>527769232</v>
      </c>
      <c r="J9" s="416" t="s">
        <v>959</v>
      </c>
      <c r="K9" s="418" t="s">
        <v>55</v>
      </c>
      <c r="L9" s="464">
        <v>77</v>
      </c>
      <c r="M9" s="464">
        <v>7</v>
      </c>
    </row>
    <row r="10" spans="1:16363" s="142" customFormat="1" ht="31.5" thickTop="1" thickBot="1" x14ac:dyDescent="0.25">
      <c r="A10" s="413" t="s">
        <v>1001</v>
      </c>
      <c r="B10" s="625" t="s">
        <v>2545</v>
      </c>
      <c r="C10" s="654"/>
      <c r="D10" s="413">
        <v>3</v>
      </c>
      <c r="E10" s="413">
        <v>30</v>
      </c>
      <c r="F10" s="413">
        <v>3</v>
      </c>
      <c r="G10" s="413">
        <v>520</v>
      </c>
      <c r="H10" s="468">
        <f>645524649+1725697581</f>
        <v>2371222230</v>
      </c>
      <c r="I10" s="467">
        <v>228259204</v>
      </c>
      <c r="J10" s="416" t="s">
        <v>960</v>
      </c>
      <c r="K10" s="418" t="s">
        <v>25</v>
      </c>
      <c r="L10" s="464">
        <v>26</v>
      </c>
      <c r="M10" s="464">
        <v>2</v>
      </c>
    </row>
    <row r="11" spans="1:16363" s="142" customFormat="1" ht="31.5" thickTop="1" thickBot="1" x14ac:dyDescent="0.25">
      <c r="A11" s="413" t="s">
        <v>1001</v>
      </c>
      <c r="B11" s="625" t="s">
        <v>2545</v>
      </c>
      <c r="C11" s="654"/>
      <c r="D11" s="413">
        <v>3</v>
      </c>
      <c r="E11" s="413">
        <v>30</v>
      </c>
      <c r="F11" s="413">
        <v>3</v>
      </c>
      <c r="G11" s="413">
        <v>520</v>
      </c>
      <c r="H11" s="467">
        <v>2745686265</v>
      </c>
      <c r="I11" s="467">
        <v>1513175465</v>
      </c>
      <c r="J11" s="416" t="s">
        <v>961</v>
      </c>
      <c r="K11" s="418" t="s">
        <v>55</v>
      </c>
      <c r="L11" s="464">
        <v>13</v>
      </c>
      <c r="M11" s="464">
        <v>7</v>
      </c>
    </row>
    <row r="12" spans="1:16363" s="142" customFormat="1" ht="40.5" customHeight="1" thickTop="1" thickBot="1" x14ac:dyDescent="0.25">
      <c r="A12" s="413" t="s">
        <v>1001</v>
      </c>
      <c r="B12" s="625" t="s">
        <v>2545</v>
      </c>
      <c r="C12" s="654" t="s">
        <v>90</v>
      </c>
      <c r="D12" s="413">
        <v>3</v>
      </c>
      <c r="E12" s="413">
        <v>30</v>
      </c>
      <c r="F12" s="413">
        <v>3</v>
      </c>
      <c r="G12" s="413">
        <v>520</v>
      </c>
      <c r="H12" s="467">
        <v>1356000000</v>
      </c>
      <c r="I12" s="467">
        <f>131647080+232647556+1</f>
        <v>364294637</v>
      </c>
      <c r="J12" s="416" t="s">
        <v>962</v>
      </c>
      <c r="K12" s="418" t="s">
        <v>11</v>
      </c>
      <c r="L12" s="464">
        <v>7817</v>
      </c>
      <c r="M12" s="464">
        <v>2100</v>
      </c>
    </row>
    <row r="13" spans="1:16363" s="142" customFormat="1" ht="31.5" thickTop="1" thickBot="1" x14ac:dyDescent="0.25">
      <c r="A13" s="413" t="s">
        <v>1001</v>
      </c>
      <c r="B13" s="625" t="s">
        <v>2545</v>
      </c>
      <c r="C13" s="654"/>
      <c r="D13" s="413">
        <v>3</v>
      </c>
      <c r="E13" s="413">
        <v>30</v>
      </c>
      <c r="F13" s="413">
        <v>3</v>
      </c>
      <c r="G13" s="413">
        <v>520</v>
      </c>
      <c r="H13" s="467">
        <f>144000000*2</f>
        <v>288000000</v>
      </c>
      <c r="I13" s="467">
        <v>0</v>
      </c>
      <c r="J13" s="416" t="s">
        <v>963</v>
      </c>
      <c r="K13" s="418" t="s">
        <v>174</v>
      </c>
      <c r="L13" s="464">
        <v>2</v>
      </c>
      <c r="M13" s="464">
        <v>0</v>
      </c>
    </row>
    <row r="14" spans="1:16363" s="142" customFormat="1" ht="35.25" thickTop="1" thickBot="1" x14ac:dyDescent="0.25">
      <c r="A14" s="413" t="s">
        <v>1001</v>
      </c>
      <c r="B14" s="625" t="s">
        <v>2545</v>
      </c>
      <c r="C14" s="654"/>
      <c r="D14" s="413">
        <v>3</v>
      </c>
      <c r="E14" s="413">
        <v>30</v>
      </c>
      <c r="F14" s="413">
        <v>3</v>
      </c>
      <c r="G14" s="413">
        <v>520</v>
      </c>
      <c r="H14" s="467">
        <f>(3000000000-H13)/2</f>
        <v>1356000000</v>
      </c>
      <c r="I14" s="467">
        <v>0</v>
      </c>
      <c r="J14" s="416" t="s">
        <v>964</v>
      </c>
      <c r="K14" s="418" t="s">
        <v>11</v>
      </c>
      <c r="L14" s="464">
        <v>7817</v>
      </c>
      <c r="M14" s="464">
        <v>0</v>
      </c>
    </row>
    <row r="15" spans="1:16363" s="142" customFormat="1" ht="33" customHeight="1" thickTop="1" thickBot="1" x14ac:dyDescent="0.25">
      <c r="A15" s="413" t="s">
        <v>1001</v>
      </c>
      <c r="B15" s="625" t="s">
        <v>2545</v>
      </c>
      <c r="C15" s="654" t="s">
        <v>105</v>
      </c>
      <c r="D15" s="413">
        <v>3</v>
      </c>
      <c r="E15" s="413">
        <v>30</v>
      </c>
      <c r="F15" s="413">
        <v>3</v>
      </c>
      <c r="G15" s="413">
        <v>530</v>
      </c>
      <c r="H15" s="467">
        <v>38133286</v>
      </c>
      <c r="I15" s="467">
        <v>0</v>
      </c>
      <c r="J15" s="416" t="s">
        <v>965</v>
      </c>
      <c r="K15" s="418" t="s">
        <v>966</v>
      </c>
      <c r="L15" s="464">
        <v>4778</v>
      </c>
      <c r="M15" s="464">
        <v>0</v>
      </c>
    </row>
    <row r="16" spans="1:16363" s="142" customFormat="1" ht="33" customHeight="1" thickTop="1" thickBot="1" x14ac:dyDescent="0.25">
      <c r="A16" s="413" t="s">
        <v>1001</v>
      </c>
      <c r="B16" s="625" t="s">
        <v>2545</v>
      </c>
      <c r="C16" s="654"/>
      <c r="D16" s="413">
        <v>3</v>
      </c>
      <c r="E16" s="413">
        <v>30</v>
      </c>
      <c r="F16" s="413">
        <v>3</v>
      </c>
      <c r="G16" s="413">
        <v>540</v>
      </c>
      <c r="H16" s="467">
        <f>861866714-H17</f>
        <v>721866714</v>
      </c>
      <c r="I16" s="467">
        <v>461460000</v>
      </c>
      <c r="J16" s="416" t="s">
        <v>967</v>
      </c>
      <c r="K16" s="418" t="s">
        <v>17</v>
      </c>
      <c r="L16" s="464">
        <v>40</v>
      </c>
      <c r="M16" s="464">
        <v>24</v>
      </c>
    </row>
    <row r="17" spans="1:13" s="142" customFormat="1" ht="33" customHeight="1" thickTop="1" thickBot="1" x14ac:dyDescent="0.25">
      <c r="A17" s="413" t="s">
        <v>1001</v>
      </c>
      <c r="B17" s="625" t="s">
        <v>2545</v>
      </c>
      <c r="C17" s="654"/>
      <c r="D17" s="413">
        <v>3</v>
      </c>
      <c r="E17" s="413">
        <v>30</v>
      </c>
      <c r="F17" s="413">
        <v>3</v>
      </c>
      <c r="G17" s="413">
        <v>540</v>
      </c>
      <c r="H17" s="467">
        <v>140000000</v>
      </c>
      <c r="I17" s="467">
        <v>140000000</v>
      </c>
      <c r="J17" s="416" t="s">
        <v>968</v>
      </c>
      <c r="K17" s="418" t="s">
        <v>17</v>
      </c>
      <c r="L17" s="464">
        <v>56</v>
      </c>
      <c r="M17" s="464">
        <v>56</v>
      </c>
    </row>
    <row r="18" spans="1:13" s="142" customFormat="1" ht="33" customHeight="1" thickTop="1" thickBot="1" x14ac:dyDescent="0.25">
      <c r="A18" s="413" t="s">
        <v>1001</v>
      </c>
      <c r="B18" s="625" t="s">
        <v>2545</v>
      </c>
      <c r="C18" s="654"/>
      <c r="D18" s="413">
        <v>3</v>
      </c>
      <c r="E18" s="413">
        <v>30</v>
      </c>
      <c r="F18" s="413">
        <v>3</v>
      </c>
      <c r="G18" s="413">
        <v>985</v>
      </c>
      <c r="H18" s="467">
        <v>1000000000</v>
      </c>
      <c r="I18" s="467">
        <v>328645715</v>
      </c>
      <c r="J18" s="416" t="s">
        <v>969</v>
      </c>
      <c r="K18" s="418" t="s">
        <v>16</v>
      </c>
      <c r="L18" s="464">
        <v>4</v>
      </c>
      <c r="M18" s="463">
        <v>2</v>
      </c>
    </row>
    <row r="19" spans="1:13" s="175" customFormat="1" ht="16.5" customHeight="1" thickTop="1" thickBot="1" x14ac:dyDescent="0.25">
      <c r="A19" s="436"/>
      <c r="B19" s="228"/>
      <c r="C19" s="158"/>
      <c r="D19" s="158"/>
      <c r="E19" s="158"/>
      <c r="F19" s="158"/>
      <c r="G19" s="158"/>
      <c r="H19" s="461"/>
      <c r="I19" s="461"/>
      <c r="J19" s="165"/>
      <c r="K19" s="165"/>
      <c r="L19" s="462"/>
      <c r="M19" s="461"/>
    </row>
    <row r="20" spans="1:13" s="168" customFormat="1" ht="30" customHeight="1" thickTop="1" thickBot="1" x14ac:dyDescent="0.3">
      <c r="A20" s="639" t="s">
        <v>0</v>
      </c>
      <c r="B20" s="639" t="s">
        <v>1</v>
      </c>
      <c r="C20" s="639" t="s">
        <v>2569</v>
      </c>
      <c r="D20" s="636" t="s">
        <v>1961</v>
      </c>
      <c r="E20" s="637"/>
      <c r="F20" s="637"/>
      <c r="G20" s="638"/>
      <c r="H20" s="636" t="s">
        <v>3</v>
      </c>
      <c r="I20" s="637"/>
      <c r="J20" s="636" t="s">
        <v>1962</v>
      </c>
      <c r="K20" s="637"/>
      <c r="L20" s="637"/>
      <c r="M20" s="638"/>
    </row>
    <row r="21" spans="1:13" s="152" customFormat="1" ht="34.5" customHeight="1" thickTop="1" thickBot="1" x14ac:dyDescent="0.3">
      <c r="A21" s="661"/>
      <c r="B21" s="661"/>
      <c r="C21" s="661"/>
      <c r="D21" s="406" t="s">
        <v>4</v>
      </c>
      <c r="E21" s="406" t="s">
        <v>5</v>
      </c>
      <c r="F21" s="406" t="s">
        <v>6</v>
      </c>
      <c r="G21" s="406" t="s">
        <v>7</v>
      </c>
      <c r="H21" s="406" t="s">
        <v>2</v>
      </c>
      <c r="I21" s="406" t="s">
        <v>3</v>
      </c>
      <c r="J21" s="406" t="s">
        <v>8</v>
      </c>
      <c r="K21" s="406" t="s">
        <v>9</v>
      </c>
      <c r="L21" s="406" t="s">
        <v>1963</v>
      </c>
      <c r="M21" s="406" t="s">
        <v>1964</v>
      </c>
    </row>
    <row r="22" spans="1:13" s="142" customFormat="1" ht="54.75" customHeight="1" thickTop="1" thickBot="1" x14ac:dyDescent="0.25">
      <c r="A22" s="413" t="s">
        <v>1002</v>
      </c>
      <c r="B22" s="625" t="s">
        <v>2545</v>
      </c>
      <c r="C22" s="710" t="s">
        <v>18</v>
      </c>
      <c r="D22" s="709">
        <v>3</v>
      </c>
      <c r="E22" s="709">
        <v>30</v>
      </c>
      <c r="F22" s="709">
        <v>3</v>
      </c>
      <c r="G22" s="709">
        <v>848</v>
      </c>
      <c r="H22" s="643">
        <f>972198058+848907663</f>
        <v>1821105721</v>
      </c>
      <c r="I22" s="643">
        <v>472805600</v>
      </c>
      <c r="J22" s="416" t="s">
        <v>970</v>
      </c>
      <c r="K22" s="418" t="s">
        <v>20</v>
      </c>
      <c r="L22" s="443">
        <v>510</v>
      </c>
      <c r="M22" s="414">
        <v>510</v>
      </c>
    </row>
    <row r="23" spans="1:13" s="142" customFormat="1" ht="42" customHeight="1" thickTop="1" thickBot="1" x14ac:dyDescent="0.25">
      <c r="A23" s="413" t="s">
        <v>1002</v>
      </c>
      <c r="B23" s="625" t="s">
        <v>2545</v>
      </c>
      <c r="C23" s="710"/>
      <c r="D23" s="659"/>
      <c r="E23" s="659"/>
      <c r="F23" s="659"/>
      <c r="G23" s="659"/>
      <c r="H23" s="644"/>
      <c r="I23" s="644"/>
      <c r="J23" s="416" t="s">
        <v>971</v>
      </c>
      <c r="K23" s="418" t="s">
        <v>75</v>
      </c>
      <c r="L23" s="443">
        <v>185000</v>
      </c>
      <c r="M23" s="414">
        <v>47857.81</v>
      </c>
    </row>
    <row r="24" spans="1:13" s="142" customFormat="1" ht="49.5" customHeight="1" thickTop="1" thickBot="1" x14ac:dyDescent="0.25">
      <c r="A24" s="413" t="s">
        <v>1002</v>
      </c>
      <c r="B24" s="625" t="s">
        <v>2545</v>
      </c>
      <c r="C24" s="654" t="s">
        <v>53</v>
      </c>
      <c r="D24" s="418">
        <v>3</v>
      </c>
      <c r="E24" s="418">
        <v>30</v>
      </c>
      <c r="F24" s="418">
        <v>3</v>
      </c>
      <c r="G24" s="418">
        <v>520</v>
      </c>
      <c r="H24" s="213">
        <v>1270275813</v>
      </c>
      <c r="I24" s="213">
        <v>0</v>
      </c>
      <c r="J24" s="416" t="s">
        <v>972</v>
      </c>
      <c r="K24" s="418" t="s">
        <v>13</v>
      </c>
      <c r="L24" s="443">
        <v>8</v>
      </c>
      <c r="M24" s="443">
        <v>0</v>
      </c>
    </row>
    <row r="25" spans="1:13" s="142" customFormat="1" ht="31.5" thickTop="1" thickBot="1" x14ac:dyDescent="0.25">
      <c r="A25" s="413" t="s">
        <v>1002</v>
      </c>
      <c r="B25" s="625" t="s">
        <v>2545</v>
      </c>
      <c r="C25" s="654"/>
      <c r="D25" s="418">
        <v>3</v>
      </c>
      <c r="E25" s="418">
        <v>30</v>
      </c>
      <c r="F25" s="418">
        <v>3</v>
      </c>
      <c r="G25" s="418">
        <v>520</v>
      </c>
      <c r="H25" s="213">
        <v>1414846106</v>
      </c>
      <c r="I25" s="213">
        <v>91252400</v>
      </c>
      <c r="J25" s="416" t="s">
        <v>973</v>
      </c>
      <c r="K25" s="418" t="s">
        <v>13</v>
      </c>
      <c r="L25" s="443">
        <v>31</v>
      </c>
      <c r="M25" s="443">
        <v>2</v>
      </c>
    </row>
    <row r="26" spans="1:13" s="142" customFormat="1" ht="32.25" customHeight="1" thickTop="1" thickBot="1" x14ac:dyDescent="0.25">
      <c r="A26" s="413" t="s">
        <v>1002</v>
      </c>
      <c r="B26" s="625" t="s">
        <v>2545</v>
      </c>
      <c r="C26" s="654"/>
      <c r="D26" s="418">
        <v>3</v>
      </c>
      <c r="E26" s="418">
        <v>30</v>
      </c>
      <c r="F26" s="418">
        <v>3</v>
      </c>
      <c r="G26" s="418">
        <v>520</v>
      </c>
      <c r="H26" s="213">
        <v>1047382300</v>
      </c>
      <c r="I26" s="213">
        <v>0</v>
      </c>
      <c r="J26" s="416" t="s">
        <v>974</v>
      </c>
      <c r="K26" s="418" t="s">
        <v>354</v>
      </c>
      <c r="L26" s="443">
        <v>53</v>
      </c>
      <c r="M26" s="443">
        <v>0</v>
      </c>
    </row>
    <row r="27" spans="1:13" s="142" customFormat="1" ht="32.25" customHeight="1" thickTop="1" thickBot="1" x14ac:dyDescent="0.25">
      <c r="A27" s="413" t="s">
        <v>1002</v>
      </c>
      <c r="B27" s="625" t="s">
        <v>2545</v>
      </c>
      <c r="C27" s="654"/>
      <c r="D27" s="418">
        <v>3</v>
      </c>
      <c r="E27" s="418">
        <v>30</v>
      </c>
      <c r="F27" s="418">
        <v>3</v>
      </c>
      <c r="G27" s="418">
        <v>520</v>
      </c>
      <c r="H27" s="213">
        <v>360000000</v>
      </c>
      <c r="I27" s="213">
        <v>0</v>
      </c>
      <c r="J27" s="416" t="s">
        <v>975</v>
      </c>
      <c r="K27" s="418" t="s">
        <v>13</v>
      </c>
      <c r="L27" s="443">
        <v>1</v>
      </c>
      <c r="M27" s="443">
        <v>0</v>
      </c>
    </row>
    <row r="28" spans="1:13" s="142" customFormat="1" ht="32.25" customHeight="1" thickTop="1" thickBot="1" x14ac:dyDescent="0.25">
      <c r="A28" s="413" t="s">
        <v>1002</v>
      </c>
      <c r="B28" s="625" t="s">
        <v>2545</v>
      </c>
      <c r="C28" s="654"/>
      <c r="D28" s="418">
        <v>3</v>
      </c>
      <c r="E28" s="418">
        <v>30</v>
      </c>
      <c r="F28" s="418">
        <v>3</v>
      </c>
      <c r="G28" s="418">
        <v>520</v>
      </c>
      <c r="H28" s="213">
        <v>499769000</v>
      </c>
      <c r="I28" s="213">
        <v>0</v>
      </c>
      <c r="J28" s="416" t="s">
        <v>976</v>
      </c>
      <c r="K28" s="418" t="s">
        <v>13</v>
      </c>
      <c r="L28" s="443">
        <v>3</v>
      </c>
      <c r="M28" s="443">
        <v>0</v>
      </c>
    </row>
    <row r="29" spans="1:13" s="142" customFormat="1" ht="30" customHeight="1" thickTop="1" thickBot="1" x14ac:dyDescent="0.25">
      <c r="A29" s="413" t="s">
        <v>1002</v>
      </c>
      <c r="B29" s="625" t="s">
        <v>2545</v>
      </c>
      <c r="C29" s="651" t="s">
        <v>2120</v>
      </c>
      <c r="D29" s="418">
        <v>3</v>
      </c>
      <c r="E29" s="418">
        <v>30</v>
      </c>
      <c r="F29" s="418">
        <v>3</v>
      </c>
      <c r="G29" s="418">
        <v>520</v>
      </c>
      <c r="H29" s="213">
        <v>339158568</v>
      </c>
      <c r="I29" s="213">
        <v>0</v>
      </c>
      <c r="J29" s="416" t="s">
        <v>977</v>
      </c>
      <c r="K29" s="418" t="s">
        <v>11</v>
      </c>
      <c r="L29" s="443">
        <v>7537</v>
      </c>
      <c r="M29" s="443">
        <v>0</v>
      </c>
    </row>
    <row r="30" spans="1:13" s="142" customFormat="1" ht="30" customHeight="1" thickTop="1" thickBot="1" x14ac:dyDescent="0.25">
      <c r="A30" s="413" t="s">
        <v>1002</v>
      </c>
      <c r="B30" s="625" t="s">
        <v>2545</v>
      </c>
      <c r="C30" s="653"/>
      <c r="D30" s="418">
        <v>3</v>
      </c>
      <c r="E30" s="418">
        <v>30</v>
      </c>
      <c r="F30" s="418">
        <v>3</v>
      </c>
      <c r="G30" s="418">
        <v>530</v>
      </c>
      <c r="H30" s="213">
        <v>0</v>
      </c>
      <c r="I30" s="213">
        <v>0</v>
      </c>
      <c r="J30" s="416" t="s">
        <v>978</v>
      </c>
      <c r="K30" s="418" t="s">
        <v>17</v>
      </c>
      <c r="L30" s="443">
        <v>20</v>
      </c>
      <c r="M30" s="443">
        <v>0</v>
      </c>
    </row>
    <row r="31" spans="1:13" s="142" customFormat="1" ht="31.5" thickTop="1" thickBot="1" x14ac:dyDescent="0.25">
      <c r="A31" s="413" t="s">
        <v>1002</v>
      </c>
      <c r="B31" s="625" t="s">
        <v>2545</v>
      </c>
      <c r="C31" s="710" t="s">
        <v>105</v>
      </c>
      <c r="D31" s="418">
        <v>3</v>
      </c>
      <c r="E31" s="418">
        <v>30</v>
      </c>
      <c r="F31" s="418">
        <v>3</v>
      </c>
      <c r="G31" s="418">
        <v>530</v>
      </c>
      <c r="H31" s="213">
        <v>705938442</v>
      </c>
      <c r="I31" s="476">
        <v>0</v>
      </c>
      <c r="J31" s="416" t="s">
        <v>979</v>
      </c>
      <c r="K31" s="418" t="s">
        <v>578</v>
      </c>
      <c r="L31" s="443">
        <v>300</v>
      </c>
      <c r="M31" s="443">
        <v>0</v>
      </c>
    </row>
    <row r="32" spans="1:13" s="142" customFormat="1" ht="36.75" customHeight="1" thickTop="1" thickBot="1" x14ac:dyDescent="0.25">
      <c r="A32" s="413" t="s">
        <v>1002</v>
      </c>
      <c r="B32" s="625" t="s">
        <v>2545</v>
      </c>
      <c r="C32" s="710"/>
      <c r="D32" s="418">
        <v>3</v>
      </c>
      <c r="E32" s="418">
        <v>30</v>
      </c>
      <c r="F32" s="418">
        <v>3</v>
      </c>
      <c r="G32" s="418">
        <v>540</v>
      </c>
      <c r="H32" s="213">
        <v>0</v>
      </c>
      <c r="I32" s="213">
        <v>0</v>
      </c>
      <c r="J32" s="416" t="s">
        <v>980</v>
      </c>
      <c r="K32" s="418" t="s">
        <v>193</v>
      </c>
      <c r="L32" s="443">
        <v>100</v>
      </c>
      <c r="M32" s="443">
        <v>0</v>
      </c>
    </row>
    <row r="33" spans="1:59" s="142" customFormat="1" ht="36.75" customHeight="1" thickTop="1" thickBot="1" x14ac:dyDescent="0.25">
      <c r="A33" s="413" t="s">
        <v>1002</v>
      </c>
      <c r="B33" s="625" t="s">
        <v>2545</v>
      </c>
      <c r="C33" s="710"/>
      <c r="D33" s="418">
        <v>3</v>
      </c>
      <c r="E33" s="418">
        <v>30</v>
      </c>
      <c r="F33" s="418">
        <v>3</v>
      </c>
      <c r="G33" s="418">
        <v>540</v>
      </c>
      <c r="H33" s="213">
        <f>107250000</f>
        <v>107250000</v>
      </c>
      <c r="I33" s="213">
        <v>107250000</v>
      </c>
      <c r="J33" s="416" t="s">
        <v>981</v>
      </c>
      <c r="K33" s="418" t="s">
        <v>230</v>
      </c>
      <c r="L33" s="443">
        <v>550</v>
      </c>
      <c r="M33" s="443">
        <v>550</v>
      </c>
    </row>
    <row r="34" spans="1:59" s="142" customFormat="1" ht="33" customHeight="1" thickTop="1" thickBot="1" x14ac:dyDescent="0.25">
      <c r="A34" s="413" t="s">
        <v>1002</v>
      </c>
      <c r="B34" s="625" t="s">
        <v>2545</v>
      </c>
      <c r="C34" s="477" t="s">
        <v>105</v>
      </c>
      <c r="D34" s="418">
        <v>3</v>
      </c>
      <c r="E34" s="418">
        <v>30</v>
      </c>
      <c r="F34" s="418">
        <v>3</v>
      </c>
      <c r="G34" s="418">
        <v>540</v>
      </c>
      <c r="H34" s="213">
        <f>140260509+33010509</f>
        <v>173271018</v>
      </c>
      <c r="I34" s="213">
        <f>110160000</f>
        <v>110160000</v>
      </c>
      <c r="J34" s="416" t="s">
        <v>982</v>
      </c>
      <c r="K34" s="418" t="s">
        <v>230</v>
      </c>
      <c r="L34" s="443">
        <v>2139</v>
      </c>
      <c r="M34" s="443">
        <v>1360</v>
      </c>
    </row>
    <row r="35" spans="1:59" s="142" customFormat="1" ht="42" customHeight="1" thickTop="1" thickBot="1" x14ac:dyDescent="0.25">
      <c r="A35" s="413" t="s">
        <v>1002</v>
      </c>
      <c r="B35" s="625" t="s">
        <v>2545</v>
      </c>
      <c r="C35" s="477" t="s">
        <v>105</v>
      </c>
      <c r="D35" s="418">
        <v>3</v>
      </c>
      <c r="E35" s="418">
        <v>30</v>
      </c>
      <c r="F35" s="418">
        <v>3</v>
      </c>
      <c r="G35" s="418">
        <v>540</v>
      </c>
      <c r="H35" s="213">
        <v>0</v>
      </c>
      <c r="I35" s="213">
        <v>0</v>
      </c>
      <c r="J35" s="416" t="s">
        <v>983</v>
      </c>
      <c r="K35" s="418" t="s">
        <v>66</v>
      </c>
      <c r="L35" s="443">
        <v>100</v>
      </c>
      <c r="M35" s="443">
        <v>0</v>
      </c>
    </row>
    <row r="36" spans="1:59" s="142" customFormat="1" ht="16.5" customHeight="1" thickTop="1" thickBot="1" x14ac:dyDescent="0.25">
      <c r="A36" s="436"/>
      <c r="B36" s="475"/>
      <c r="C36" s="465"/>
      <c r="D36" s="157"/>
      <c r="E36" s="157"/>
      <c r="F36" s="157"/>
      <c r="G36" s="157"/>
      <c r="H36" s="466"/>
      <c r="I36" s="466"/>
      <c r="J36" s="157"/>
      <c r="K36" s="157"/>
      <c r="L36" s="466"/>
      <c r="M36" s="466"/>
    </row>
    <row r="37" spans="1:59" s="168" customFormat="1" ht="30" customHeight="1" thickTop="1" thickBot="1" x14ac:dyDescent="0.3">
      <c r="A37" s="639" t="s">
        <v>0</v>
      </c>
      <c r="B37" s="639" t="s">
        <v>1</v>
      </c>
      <c r="C37" s="639" t="s">
        <v>2569</v>
      </c>
      <c r="D37" s="636" t="s">
        <v>1961</v>
      </c>
      <c r="E37" s="637"/>
      <c r="F37" s="637"/>
      <c r="G37" s="638"/>
      <c r="H37" s="636" t="s">
        <v>3</v>
      </c>
      <c r="I37" s="637"/>
      <c r="J37" s="636" t="s">
        <v>1962</v>
      </c>
      <c r="K37" s="637"/>
      <c r="L37" s="637"/>
      <c r="M37" s="638"/>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row>
    <row r="38" spans="1:59" s="152" customFormat="1" ht="34.5" customHeight="1" thickTop="1" thickBot="1" x14ac:dyDescent="0.3">
      <c r="A38" s="640"/>
      <c r="B38" s="640"/>
      <c r="C38" s="640"/>
      <c r="D38" s="209" t="s">
        <v>4</v>
      </c>
      <c r="E38" s="209" t="s">
        <v>5</v>
      </c>
      <c r="F38" s="209" t="s">
        <v>6</v>
      </c>
      <c r="G38" s="209" t="s">
        <v>7</v>
      </c>
      <c r="H38" s="209" t="s">
        <v>2</v>
      </c>
      <c r="I38" s="209" t="s">
        <v>3</v>
      </c>
      <c r="J38" s="209" t="s">
        <v>8</v>
      </c>
      <c r="K38" s="406" t="s">
        <v>9</v>
      </c>
      <c r="L38" s="406" t="s">
        <v>1963</v>
      </c>
      <c r="M38" s="406" t="s">
        <v>1964</v>
      </c>
    </row>
    <row r="39" spans="1:59" s="142" customFormat="1" ht="51.75" customHeight="1" thickTop="1" thickBot="1" x14ac:dyDescent="0.25">
      <c r="A39" s="413" t="s">
        <v>2546</v>
      </c>
      <c r="B39" s="413" t="s">
        <v>2545</v>
      </c>
      <c r="C39" s="477" t="s">
        <v>18</v>
      </c>
      <c r="D39" s="418">
        <v>2</v>
      </c>
      <c r="E39" s="418">
        <v>30</v>
      </c>
      <c r="F39" s="418">
        <v>3</v>
      </c>
      <c r="G39" s="418">
        <v>848</v>
      </c>
      <c r="H39" s="213">
        <v>278664382</v>
      </c>
      <c r="I39" s="213">
        <v>0</v>
      </c>
      <c r="J39" s="416" t="s">
        <v>1003</v>
      </c>
      <c r="K39" s="418" t="s">
        <v>20</v>
      </c>
      <c r="L39" s="443">
        <v>302</v>
      </c>
      <c r="M39" s="443">
        <v>0</v>
      </c>
    </row>
    <row r="40" spans="1:59" s="142" customFormat="1" ht="51.75" customHeight="1" thickTop="1" thickBot="1" x14ac:dyDescent="0.25">
      <c r="A40" s="625" t="s">
        <v>2546</v>
      </c>
      <c r="B40" s="625" t="s">
        <v>2545</v>
      </c>
      <c r="C40" s="712" t="s">
        <v>53</v>
      </c>
      <c r="D40" s="418">
        <v>3</v>
      </c>
      <c r="E40" s="418">
        <v>30</v>
      </c>
      <c r="F40" s="418">
        <v>3</v>
      </c>
      <c r="G40" s="418">
        <v>520</v>
      </c>
      <c r="H40" s="213">
        <v>495705504</v>
      </c>
      <c r="I40" s="213">
        <v>0</v>
      </c>
      <c r="J40" s="416" t="s">
        <v>984</v>
      </c>
      <c r="K40" s="418" t="s">
        <v>55</v>
      </c>
      <c r="L40" s="443">
        <v>8</v>
      </c>
      <c r="M40" s="443">
        <v>0</v>
      </c>
    </row>
    <row r="41" spans="1:59" s="142" customFormat="1" ht="51.75" customHeight="1" thickTop="1" thickBot="1" x14ac:dyDescent="0.25">
      <c r="A41" s="625" t="s">
        <v>2546</v>
      </c>
      <c r="B41" s="625" t="s">
        <v>2545</v>
      </c>
      <c r="C41" s="713"/>
      <c r="D41" s="418">
        <v>3</v>
      </c>
      <c r="E41" s="418">
        <v>30</v>
      </c>
      <c r="F41" s="418">
        <v>3</v>
      </c>
      <c r="G41" s="418">
        <v>980</v>
      </c>
      <c r="H41" s="213">
        <v>154511389</v>
      </c>
      <c r="I41" s="213">
        <v>141011389</v>
      </c>
      <c r="J41" s="416" t="s">
        <v>985</v>
      </c>
      <c r="K41" s="418" t="s">
        <v>16</v>
      </c>
      <c r="L41" s="443">
        <v>4</v>
      </c>
      <c r="M41" s="443">
        <v>3.65</v>
      </c>
    </row>
    <row r="42" spans="1:59" s="148" customFormat="1" ht="20.25" customHeight="1" thickTop="1" thickBot="1" x14ac:dyDescent="0.25">
      <c r="A42" s="176"/>
      <c r="B42" s="475"/>
      <c r="C42" s="178"/>
      <c r="D42" s="178"/>
      <c r="E42" s="178"/>
      <c r="F42" s="178"/>
      <c r="G42" s="178"/>
      <c r="H42" s="24"/>
      <c r="I42" s="24"/>
      <c r="J42" s="178"/>
      <c r="K42" s="24"/>
      <c r="L42" s="24"/>
      <c r="M42" s="24"/>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row>
    <row r="43" spans="1:59" s="168" customFormat="1" ht="29.25" customHeight="1" thickTop="1" thickBot="1" x14ac:dyDescent="0.3">
      <c r="A43" s="639" t="s">
        <v>0</v>
      </c>
      <c r="B43" s="639" t="s">
        <v>1</v>
      </c>
      <c r="C43" s="639" t="s">
        <v>2569</v>
      </c>
      <c r="D43" s="636" t="s">
        <v>1961</v>
      </c>
      <c r="E43" s="637"/>
      <c r="F43" s="637"/>
      <c r="G43" s="638"/>
      <c r="H43" s="636" t="s">
        <v>3</v>
      </c>
      <c r="I43" s="637"/>
      <c r="J43" s="636" t="s">
        <v>1962</v>
      </c>
      <c r="K43" s="637"/>
      <c r="L43" s="637"/>
      <c r="M43" s="638"/>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row>
    <row r="44" spans="1:59" s="152" customFormat="1" ht="34.5" customHeight="1" thickTop="1" thickBot="1" x14ac:dyDescent="0.3">
      <c r="A44" s="640"/>
      <c r="B44" s="640"/>
      <c r="C44" s="640"/>
      <c r="D44" s="209" t="s">
        <v>4</v>
      </c>
      <c r="E44" s="209" t="s">
        <v>5</v>
      </c>
      <c r="F44" s="209" t="s">
        <v>6</v>
      </c>
      <c r="G44" s="209" t="s">
        <v>7</v>
      </c>
      <c r="H44" s="209" t="s">
        <v>2</v>
      </c>
      <c r="I44" s="209" t="s">
        <v>3</v>
      </c>
      <c r="J44" s="209" t="s">
        <v>8</v>
      </c>
      <c r="K44" s="406" t="s">
        <v>9</v>
      </c>
      <c r="L44" s="406" t="s">
        <v>1963</v>
      </c>
      <c r="M44" s="406" t="s">
        <v>1964</v>
      </c>
    </row>
    <row r="45" spans="1:59" s="142" customFormat="1" ht="75.75" customHeight="1" thickTop="1" thickBot="1" x14ac:dyDescent="0.25">
      <c r="A45" s="413" t="s">
        <v>2477</v>
      </c>
      <c r="B45" s="413" t="s">
        <v>2545</v>
      </c>
      <c r="C45" s="712" t="s">
        <v>18</v>
      </c>
      <c r="D45" s="418">
        <v>2</v>
      </c>
      <c r="E45" s="418">
        <v>30</v>
      </c>
      <c r="F45" s="418">
        <v>3</v>
      </c>
      <c r="G45" s="418">
        <v>848</v>
      </c>
      <c r="H45" s="213">
        <v>324856382</v>
      </c>
      <c r="I45" s="213">
        <v>262240000</v>
      </c>
      <c r="J45" s="416" t="s">
        <v>986</v>
      </c>
      <c r="K45" s="418" t="s">
        <v>20</v>
      </c>
      <c r="L45" s="443">
        <v>170</v>
      </c>
      <c r="M45" s="443">
        <v>170</v>
      </c>
    </row>
    <row r="46" spans="1:59" s="142" customFormat="1" ht="42" customHeight="1" thickTop="1" thickBot="1" x14ac:dyDescent="0.25">
      <c r="A46" s="621" t="s">
        <v>2477</v>
      </c>
      <c r="B46" s="625" t="s">
        <v>2545</v>
      </c>
      <c r="C46" s="713"/>
      <c r="D46" s="418">
        <v>2</v>
      </c>
      <c r="E46" s="418">
        <v>30</v>
      </c>
      <c r="F46" s="418">
        <v>3</v>
      </c>
      <c r="G46" s="418">
        <v>960</v>
      </c>
      <c r="H46" s="213">
        <v>85800000</v>
      </c>
      <c r="I46" s="213">
        <v>85800000</v>
      </c>
      <c r="J46" s="416" t="s">
        <v>987</v>
      </c>
      <c r="K46" s="418" t="s">
        <v>16</v>
      </c>
      <c r="L46" s="443">
        <v>1</v>
      </c>
      <c r="M46" s="443">
        <v>1</v>
      </c>
    </row>
    <row r="47" spans="1:59" s="142" customFormat="1" ht="60.75" customHeight="1" thickTop="1" thickBot="1" x14ac:dyDescent="0.25">
      <c r="A47" s="621" t="s">
        <v>2477</v>
      </c>
      <c r="B47" s="625" t="s">
        <v>2545</v>
      </c>
      <c r="C47" s="477" t="s">
        <v>53</v>
      </c>
      <c r="D47" s="418">
        <v>3</v>
      </c>
      <c r="E47" s="418">
        <v>30</v>
      </c>
      <c r="F47" s="418">
        <v>3</v>
      </c>
      <c r="G47" s="418">
        <v>520</v>
      </c>
      <c r="H47" s="213">
        <v>328000000</v>
      </c>
      <c r="I47" s="213">
        <v>280158519</v>
      </c>
      <c r="J47" s="416" t="s">
        <v>988</v>
      </c>
      <c r="K47" s="418" t="s">
        <v>55</v>
      </c>
      <c r="L47" s="443">
        <v>4</v>
      </c>
      <c r="M47" s="443">
        <v>3</v>
      </c>
    </row>
    <row r="48" spans="1:59" s="142" customFormat="1" ht="54.75" customHeight="1" thickTop="1" thickBot="1" x14ac:dyDescent="0.25">
      <c r="A48" s="621" t="s">
        <v>2477</v>
      </c>
      <c r="B48" s="625" t="s">
        <v>2545</v>
      </c>
      <c r="C48" s="477" t="s">
        <v>53</v>
      </c>
      <c r="D48" s="418">
        <v>3</v>
      </c>
      <c r="E48" s="418">
        <v>30</v>
      </c>
      <c r="F48" s="418">
        <v>3</v>
      </c>
      <c r="G48" s="418">
        <v>520</v>
      </c>
      <c r="H48" s="213">
        <v>90000000</v>
      </c>
      <c r="I48" s="213">
        <v>0</v>
      </c>
      <c r="J48" s="416" t="s">
        <v>989</v>
      </c>
      <c r="K48" s="418" t="s">
        <v>25</v>
      </c>
      <c r="L48" s="443">
        <v>3</v>
      </c>
      <c r="M48" s="443">
        <v>0</v>
      </c>
    </row>
    <row r="49" spans="1:59" s="142" customFormat="1" ht="54.75" customHeight="1" thickTop="1" thickBot="1" x14ac:dyDescent="0.25">
      <c r="A49" s="621" t="s">
        <v>2477</v>
      </c>
      <c r="B49" s="625" t="s">
        <v>2545</v>
      </c>
      <c r="C49" s="477" t="s">
        <v>53</v>
      </c>
      <c r="D49" s="418">
        <v>3</v>
      </c>
      <c r="E49" s="418">
        <v>30</v>
      </c>
      <c r="F49" s="418">
        <v>3</v>
      </c>
      <c r="G49" s="418">
        <v>520</v>
      </c>
      <c r="H49" s="213">
        <v>122000000</v>
      </c>
      <c r="I49" s="213">
        <v>0</v>
      </c>
      <c r="J49" s="416" t="s">
        <v>990</v>
      </c>
      <c r="K49" s="418" t="s">
        <v>55</v>
      </c>
      <c r="L49" s="443">
        <v>4</v>
      </c>
      <c r="M49" s="443">
        <v>0</v>
      </c>
    </row>
    <row r="50" spans="1:59" s="142" customFormat="1" ht="48.75" customHeight="1" thickTop="1" thickBot="1" x14ac:dyDescent="0.25">
      <c r="A50" s="621" t="s">
        <v>2477</v>
      </c>
      <c r="B50" s="625" t="s">
        <v>2545</v>
      </c>
      <c r="C50" s="477" t="s">
        <v>53</v>
      </c>
      <c r="D50" s="418">
        <v>3</v>
      </c>
      <c r="E50" s="418">
        <v>30</v>
      </c>
      <c r="F50" s="418">
        <v>3</v>
      </c>
      <c r="G50" s="418">
        <v>520</v>
      </c>
      <c r="H50" s="213">
        <v>40000000</v>
      </c>
      <c r="I50" s="213">
        <v>0</v>
      </c>
      <c r="J50" s="416" t="s">
        <v>991</v>
      </c>
      <c r="K50" s="418" t="s">
        <v>25</v>
      </c>
      <c r="L50" s="443">
        <v>2</v>
      </c>
      <c r="M50" s="443">
        <v>0</v>
      </c>
    </row>
    <row r="51" spans="1:59" s="142" customFormat="1" ht="48.75" customHeight="1" thickTop="1" thickBot="1" x14ac:dyDescent="0.25">
      <c r="A51" s="621" t="s">
        <v>2477</v>
      </c>
      <c r="B51" s="625" t="s">
        <v>2545</v>
      </c>
      <c r="C51" s="477" t="s">
        <v>53</v>
      </c>
      <c r="D51" s="418">
        <v>3</v>
      </c>
      <c r="E51" s="418">
        <v>30</v>
      </c>
      <c r="F51" s="418">
        <v>3</v>
      </c>
      <c r="G51" s="418">
        <v>520</v>
      </c>
      <c r="H51" s="213">
        <v>10000000</v>
      </c>
      <c r="I51" s="213">
        <v>0</v>
      </c>
      <c r="J51" s="416" t="s">
        <v>992</v>
      </c>
      <c r="K51" s="418" t="s">
        <v>13</v>
      </c>
      <c r="L51" s="443">
        <v>1</v>
      </c>
      <c r="M51" s="443">
        <v>0</v>
      </c>
    </row>
    <row r="52" spans="1:59" s="142" customFormat="1" ht="48.75" customHeight="1" thickTop="1" thickBot="1" x14ac:dyDescent="0.25">
      <c r="A52" s="621" t="s">
        <v>2477</v>
      </c>
      <c r="B52" s="625" t="s">
        <v>2545</v>
      </c>
      <c r="C52" s="477" t="s">
        <v>53</v>
      </c>
      <c r="D52" s="418">
        <v>3</v>
      </c>
      <c r="E52" s="418">
        <v>30</v>
      </c>
      <c r="F52" s="418">
        <v>3</v>
      </c>
      <c r="G52" s="418">
        <v>520</v>
      </c>
      <c r="H52" s="213">
        <v>10000000</v>
      </c>
      <c r="I52" s="213">
        <v>0</v>
      </c>
      <c r="J52" s="416" t="s">
        <v>993</v>
      </c>
      <c r="K52" s="418" t="s">
        <v>13</v>
      </c>
      <c r="L52" s="443">
        <v>1</v>
      </c>
      <c r="M52" s="443">
        <v>0</v>
      </c>
    </row>
    <row r="53" spans="1:59" s="142" customFormat="1" ht="48.75" customHeight="1" thickTop="1" thickBot="1" x14ac:dyDescent="0.25">
      <c r="A53" s="621" t="s">
        <v>2477</v>
      </c>
      <c r="B53" s="625" t="s">
        <v>2545</v>
      </c>
      <c r="C53" s="477" t="s">
        <v>53</v>
      </c>
      <c r="D53" s="418">
        <v>3</v>
      </c>
      <c r="E53" s="418">
        <v>30</v>
      </c>
      <c r="F53" s="418">
        <v>3</v>
      </c>
      <c r="G53" s="418">
        <v>520</v>
      </c>
      <c r="H53" s="213">
        <v>30000000</v>
      </c>
      <c r="I53" s="213">
        <v>0</v>
      </c>
      <c r="J53" s="416" t="s">
        <v>994</v>
      </c>
      <c r="K53" s="418" t="s">
        <v>13</v>
      </c>
      <c r="L53" s="443">
        <v>1</v>
      </c>
      <c r="M53" s="443">
        <v>0</v>
      </c>
    </row>
    <row r="54" spans="1:59" s="142" customFormat="1" ht="48.75" customHeight="1" thickTop="1" thickBot="1" x14ac:dyDescent="0.25">
      <c r="A54" s="621" t="s">
        <v>2477</v>
      </c>
      <c r="B54" s="625" t="s">
        <v>2545</v>
      </c>
      <c r="C54" s="477" t="s">
        <v>53</v>
      </c>
      <c r="D54" s="418">
        <v>3</v>
      </c>
      <c r="E54" s="418">
        <v>30</v>
      </c>
      <c r="F54" s="418">
        <v>3</v>
      </c>
      <c r="G54" s="418">
        <v>520</v>
      </c>
      <c r="H54" s="213">
        <f>162000000+166198224</f>
        <v>328198224</v>
      </c>
      <c r="I54" s="213">
        <v>161481325</v>
      </c>
      <c r="J54" s="416" t="s">
        <v>995</v>
      </c>
      <c r="K54" s="418" t="s">
        <v>13</v>
      </c>
      <c r="L54" s="443">
        <v>1</v>
      </c>
      <c r="M54" s="443">
        <v>1</v>
      </c>
    </row>
    <row r="55" spans="1:59" s="142" customFormat="1" ht="15.75" customHeight="1" thickTop="1" thickBot="1" x14ac:dyDescent="0.25">
      <c r="A55" s="137"/>
      <c r="B55" s="475"/>
      <c r="C55" s="138"/>
      <c r="D55" s="139"/>
      <c r="E55" s="139"/>
      <c r="F55" s="139"/>
      <c r="G55" s="139"/>
      <c r="H55" s="140"/>
      <c r="I55" s="140"/>
      <c r="J55" s="139"/>
      <c r="K55" s="139"/>
      <c r="L55" s="140"/>
      <c r="M55" s="140"/>
    </row>
    <row r="56" spans="1:59" s="168" customFormat="1" ht="30" customHeight="1" thickTop="1" thickBot="1" x14ac:dyDescent="0.3">
      <c r="A56" s="639" t="s">
        <v>0</v>
      </c>
      <c r="B56" s="639" t="s">
        <v>1</v>
      </c>
      <c r="C56" s="639" t="s">
        <v>2569</v>
      </c>
      <c r="D56" s="636" t="s">
        <v>1961</v>
      </c>
      <c r="E56" s="637"/>
      <c r="F56" s="637"/>
      <c r="G56" s="638"/>
      <c r="H56" s="636" t="s">
        <v>3</v>
      </c>
      <c r="I56" s="637"/>
      <c r="J56" s="636" t="s">
        <v>1962</v>
      </c>
      <c r="K56" s="637"/>
      <c r="L56" s="637"/>
      <c r="M56" s="638"/>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row>
    <row r="57" spans="1:59" s="152" customFormat="1" ht="33.75" customHeight="1" thickTop="1" thickBot="1" x14ac:dyDescent="0.3">
      <c r="A57" s="640"/>
      <c r="B57" s="640"/>
      <c r="C57" s="640"/>
      <c r="D57" s="209" t="s">
        <v>4</v>
      </c>
      <c r="E57" s="209" t="s">
        <v>5</v>
      </c>
      <c r="F57" s="209" t="s">
        <v>6</v>
      </c>
      <c r="G57" s="209" t="s">
        <v>7</v>
      </c>
      <c r="H57" s="209" t="s">
        <v>2</v>
      </c>
      <c r="I57" s="209" t="s">
        <v>3</v>
      </c>
      <c r="J57" s="209" t="s">
        <v>8</v>
      </c>
      <c r="K57" s="406" t="s">
        <v>9</v>
      </c>
      <c r="L57" s="406" t="s">
        <v>1963</v>
      </c>
      <c r="M57" s="406" t="s">
        <v>1964</v>
      </c>
    </row>
    <row r="58" spans="1:59" s="142" customFormat="1" ht="51.75" customHeight="1" thickTop="1" thickBot="1" x14ac:dyDescent="0.25">
      <c r="A58" s="413" t="s">
        <v>1004</v>
      </c>
      <c r="B58" s="413" t="s">
        <v>2545</v>
      </c>
      <c r="C58" s="712" t="s">
        <v>18</v>
      </c>
      <c r="D58" s="418">
        <v>3</v>
      </c>
      <c r="E58" s="418">
        <v>30</v>
      </c>
      <c r="F58" s="418">
        <v>3</v>
      </c>
      <c r="G58" s="418">
        <v>848</v>
      </c>
      <c r="H58" s="213">
        <v>764958458</v>
      </c>
      <c r="I58" s="213">
        <v>313079745</v>
      </c>
      <c r="J58" s="416" t="s">
        <v>996</v>
      </c>
      <c r="K58" s="418" t="s">
        <v>20</v>
      </c>
      <c r="L58" s="443">
        <v>763</v>
      </c>
      <c r="M58" s="443">
        <v>760</v>
      </c>
    </row>
    <row r="59" spans="1:59" s="142" customFormat="1" ht="42.75" customHeight="1" thickTop="1" thickBot="1" x14ac:dyDescent="0.25">
      <c r="A59" s="413" t="s">
        <v>1004</v>
      </c>
      <c r="B59" s="625" t="s">
        <v>2545</v>
      </c>
      <c r="C59" s="713"/>
      <c r="D59" s="418">
        <v>3</v>
      </c>
      <c r="E59" s="418">
        <v>30</v>
      </c>
      <c r="F59" s="418">
        <v>3</v>
      </c>
      <c r="G59" s="418">
        <v>960</v>
      </c>
      <c r="H59" s="213">
        <v>283572960</v>
      </c>
      <c r="I59" s="213">
        <v>283572960</v>
      </c>
      <c r="J59" s="416" t="s">
        <v>997</v>
      </c>
      <c r="K59" s="418" t="s">
        <v>16</v>
      </c>
      <c r="L59" s="443">
        <v>1</v>
      </c>
      <c r="M59" s="443">
        <v>1</v>
      </c>
    </row>
    <row r="60" spans="1:59" s="142" customFormat="1" ht="30" customHeight="1" thickTop="1" thickBot="1" x14ac:dyDescent="0.25">
      <c r="A60" s="307" t="s">
        <v>1004</v>
      </c>
      <c r="B60" s="625" t="s">
        <v>2545</v>
      </c>
      <c r="C60" s="651" t="s">
        <v>53</v>
      </c>
      <c r="D60" s="418">
        <v>3</v>
      </c>
      <c r="E60" s="418">
        <v>30</v>
      </c>
      <c r="F60" s="418">
        <v>3</v>
      </c>
      <c r="G60" s="418">
        <v>520</v>
      </c>
      <c r="H60" s="417">
        <f>1600000000-305489080</f>
        <v>1294510920</v>
      </c>
      <c r="I60" s="418">
        <v>627649252</v>
      </c>
      <c r="J60" s="416" t="s">
        <v>998</v>
      </c>
      <c r="K60" s="418" t="s">
        <v>55</v>
      </c>
      <c r="L60" s="418">
        <v>16</v>
      </c>
      <c r="M60" s="418">
        <v>8</v>
      </c>
    </row>
    <row r="61" spans="1:59" s="142" customFormat="1" ht="35.25" customHeight="1" thickTop="1" thickBot="1" x14ac:dyDescent="0.25">
      <c r="A61" s="307" t="s">
        <v>1004</v>
      </c>
      <c r="B61" s="625" t="s">
        <v>2545</v>
      </c>
      <c r="C61" s="652"/>
      <c r="D61" s="418">
        <v>3</v>
      </c>
      <c r="E61" s="418">
        <v>30</v>
      </c>
      <c r="F61" s="418">
        <v>3</v>
      </c>
      <c r="G61" s="418">
        <v>520</v>
      </c>
      <c r="H61" s="417">
        <v>846573309</v>
      </c>
      <c r="I61" s="418">
        <v>259052346</v>
      </c>
      <c r="J61" s="416" t="s">
        <v>999</v>
      </c>
      <c r="K61" s="418" t="s">
        <v>25</v>
      </c>
      <c r="L61" s="418">
        <v>10</v>
      </c>
      <c r="M61" s="418">
        <v>4</v>
      </c>
    </row>
    <row r="62" spans="1:59" s="142" customFormat="1" ht="41.25" customHeight="1" thickTop="1" thickBot="1" x14ac:dyDescent="0.25">
      <c r="A62" s="307" t="s">
        <v>1004</v>
      </c>
      <c r="B62" s="625" t="s">
        <v>2545</v>
      </c>
      <c r="C62" s="653"/>
      <c r="D62" s="418">
        <v>3</v>
      </c>
      <c r="E62" s="418">
        <v>30</v>
      </c>
      <c r="F62" s="418">
        <v>3</v>
      </c>
      <c r="G62" s="418">
        <v>980</v>
      </c>
      <c r="H62" s="417">
        <v>305489080</v>
      </c>
      <c r="I62" s="418">
        <v>305489080</v>
      </c>
      <c r="J62" s="416" t="s">
        <v>1000</v>
      </c>
      <c r="K62" s="418" t="s">
        <v>16</v>
      </c>
      <c r="L62" s="418">
        <v>4</v>
      </c>
      <c r="M62" s="418">
        <v>4</v>
      </c>
    </row>
    <row r="63" spans="1:59" s="142" customFormat="1" ht="20.25" customHeight="1" thickTop="1" thickBot="1" x14ac:dyDescent="0.25">
      <c r="A63" s="469"/>
      <c r="B63" s="475"/>
      <c r="C63" s="469"/>
      <c r="D63" s="470"/>
      <c r="E63" s="470"/>
      <c r="F63" s="470"/>
      <c r="G63" s="470"/>
      <c r="H63" s="470"/>
      <c r="I63" s="470"/>
      <c r="J63" s="470"/>
      <c r="K63" s="470"/>
      <c r="L63" s="470"/>
      <c r="M63" s="470"/>
    </row>
    <row r="64" spans="1:59" s="168" customFormat="1" ht="30" customHeight="1" thickTop="1" thickBot="1" x14ac:dyDescent="0.3">
      <c r="A64" s="639" t="s">
        <v>0</v>
      </c>
      <c r="B64" s="639" t="s">
        <v>1</v>
      </c>
      <c r="C64" s="639" t="s">
        <v>2569</v>
      </c>
      <c r="D64" s="636" t="s">
        <v>1961</v>
      </c>
      <c r="E64" s="637"/>
      <c r="F64" s="637"/>
      <c r="G64" s="638"/>
      <c r="H64" s="636" t="s">
        <v>3</v>
      </c>
      <c r="I64" s="637"/>
      <c r="J64" s="636" t="s">
        <v>1962</v>
      </c>
      <c r="K64" s="637"/>
      <c r="L64" s="637"/>
      <c r="M64" s="638"/>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row>
    <row r="65" spans="1:180" s="152" customFormat="1" ht="34.5" customHeight="1" thickTop="1" thickBot="1" x14ac:dyDescent="0.3">
      <c r="A65" s="661"/>
      <c r="B65" s="661"/>
      <c r="C65" s="661"/>
      <c r="D65" s="406" t="s">
        <v>4</v>
      </c>
      <c r="E65" s="406" t="s">
        <v>5</v>
      </c>
      <c r="F65" s="406" t="s">
        <v>6</v>
      </c>
      <c r="G65" s="406" t="s">
        <v>7</v>
      </c>
      <c r="H65" s="406" t="s">
        <v>2</v>
      </c>
      <c r="I65" s="406" t="s">
        <v>3</v>
      </c>
      <c r="J65" s="406" t="s">
        <v>8</v>
      </c>
      <c r="K65" s="406" t="s">
        <v>9</v>
      </c>
      <c r="L65" s="406" t="s">
        <v>1963</v>
      </c>
      <c r="M65" s="406" t="s">
        <v>1964</v>
      </c>
    </row>
    <row r="66" spans="1:180" s="150" customFormat="1" ht="48" customHeight="1" thickTop="1" thickBot="1" x14ac:dyDescent="0.3">
      <c r="A66" s="413" t="s">
        <v>2478</v>
      </c>
      <c r="B66" s="413" t="s">
        <v>2545</v>
      </c>
      <c r="C66" s="413" t="s">
        <v>18</v>
      </c>
      <c r="D66" s="418">
        <v>3</v>
      </c>
      <c r="E66" s="418">
        <v>30</v>
      </c>
      <c r="F66" s="418">
        <v>3</v>
      </c>
      <c r="G66" s="418">
        <v>848</v>
      </c>
      <c r="H66" s="415">
        <f>520364347+143487892</f>
        <v>663852239</v>
      </c>
      <c r="I66" s="415">
        <v>267410248</v>
      </c>
      <c r="J66" s="416" t="s">
        <v>1005</v>
      </c>
      <c r="K66" s="418" t="s">
        <v>20</v>
      </c>
      <c r="L66" s="417">
        <v>358</v>
      </c>
      <c r="M66" s="417">
        <v>358</v>
      </c>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c r="CG66" s="152"/>
      <c r="CH66" s="152"/>
      <c r="CI66" s="152"/>
      <c r="CJ66" s="152"/>
      <c r="CK66" s="152"/>
      <c r="CL66" s="152"/>
      <c r="CM66" s="152"/>
      <c r="CN66" s="152"/>
      <c r="CO66" s="152"/>
      <c r="CP66" s="152"/>
      <c r="CQ66" s="152"/>
      <c r="CR66" s="152"/>
      <c r="CS66" s="152"/>
      <c r="CT66" s="152"/>
      <c r="CU66" s="152"/>
      <c r="CV66" s="152"/>
      <c r="CW66" s="152"/>
      <c r="CX66" s="152"/>
      <c r="CY66" s="152"/>
      <c r="CZ66" s="152"/>
      <c r="DA66" s="152"/>
      <c r="DB66" s="152"/>
      <c r="DC66" s="152"/>
      <c r="DD66" s="152"/>
      <c r="DE66" s="152"/>
      <c r="DF66" s="152"/>
      <c r="DG66" s="152"/>
      <c r="DH66" s="152"/>
      <c r="DI66" s="152"/>
      <c r="DJ66" s="152"/>
      <c r="DK66" s="152"/>
      <c r="DL66" s="152"/>
      <c r="DM66" s="152"/>
      <c r="DN66" s="152"/>
      <c r="DO66" s="152"/>
      <c r="DP66" s="152"/>
      <c r="DQ66" s="152"/>
      <c r="DR66" s="152"/>
      <c r="DS66" s="152"/>
      <c r="DT66" s="152"/>
      <c r="DU66" s="152"/>
      <c r="DV66" s="152"/>
      <c r="DW66" s="152"/>
      <c r="DX66" s="152"/>
      <c r="DY66" s="152"/>
      <c r="DZ66" s="152"/>
      <c r="EA66" s="152"/>
      <c r="EB66" s="152"/>
      <c r="EC66" s="152"/>
      <c r="ED66" s="152"/>
      <c r="EE66" s="152"/>
      <c r="EF66" s="152"/>
      <c r="EG66" s="152"/>
      <c r="EH66" s="152"/>
      <c r="EI66" s="152"/>
      <c r="EJ66" s="152"/>
      <c r="EK66" s="152"/>
      <c r="EL66" s="152"/>
      <c r="EM66" s="152"/>
      <c r="EN66" s="152"/>
      <c r="EO66" s="152"/>
      <c r="EP66" s="152"/>
      <c r="EQ66" s="152"/>
      <c r="ER66" s="152"/>
      <c r="ES66" s="152"/>
      <c r="ET66" s="152"/>
      <c r="EU66" s="152"/>
      <c r="EV66" s="152"/>
      <c r="EW66" s="152"/>
      <c r="EX66" s="152"/>
      <c r="EY66" s="152"/>
      <c r="EZ66" s="152"/>
      <c r="FA66" s="152"/>
      <c r="FB66" s="152"/>
      <c r="FC66" s="152"/>
      <c r="FD66" s="152"/>
      <c r="FE66" s="152"/>
      <c r="FF66" s="152"/>
      <c r="FG66" s="152"/>
      <c r="FH66" s="152"/>
      <c r="FI66" s="152"/>
      <c r="FJ66" s="152"/>
      <c r="FK66" s="152"/>
      <c r="FL66" s="152"/>
      <c r="FM66" s="152"/>
      <c r="FN66" s="152"/>
      <c r="FO66" s="152"/>
      <c r="FP66" s="152"/>
      <c r="FQ66" s="152"/>
      <c r="FR66" s="152"/>
      <c r="FS66" s="152"/>
      <c r="FT66" s="152"/>
      <c r="FU66" s="152"/>
      <c r="FV66" s="152"/>
      <c r="FW66" s="152"/>
      <c r="FX66" s="152"/>
    </row>
    <row r="67" spans="1:180" s="150" customFormat="1" ht="30.75" customHeight="1" thickTop="1" thickBot="1" x14ac:dyDescent="0.3">
      <c r="A67" s="621" t="s">
        <v>2478</v>
      </c>
      <c r="B67" s="625" t="s">
        <v>2545</v>
      </c>
      <c r="C67" s="654" t="s">
        <v>53</v>
      </c>
      <c r="D67" s="418">
        <v>3</v>
      </c>
      <c r="E67" s="418">
        <v>30</v>
      </c>
      <c r="F67" s="418">
        <v>3</v>
      </c>
      <c r="G67" s="418">
        <v>520</v>
      </c>
      <c r="H67" s="415">
        <v>431490876</v>
      </c>
      <c r="I67" s="415">
        <f>283697920+49948973</f>
        <v>333646893</v>
      </c>
      <c r="J67" s="416" t="s">
        <v>1006</v>
      </c>
      <c r="K67" s="418" t="s">
        <v>55</v>
      </c>
      <c r="L67" s="417">
        <v>5</v>
      </c>
      <c r="M67" s="417">
        <v>4</v>
      </c>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c r="CE67" s="152"/>
      <c r="CF67" s="152"/>
      <c r="CG67" s="152"/>
      <c r="CH67" s="152"/>
      <c r="CI67" s="152"/>
      <c r="CJ67" s="152"/>
      <c r="CK67" s="152"/>
      <c r="CL67" s="152"/>
      <c r="CM67" s="152"/>
      <c r="CN67" s="152"/>
      <c r="CO67" s="152"/>
      <c r="CP67" s="152"/>
      <c r="CQ67" s="152"/>
      <c r="CR67" s="152"/>
      <c r="CS67" s="152"/>
      <c r="CT67" s="152"/>
      <c r="CU67" s="152"/>
      <c r="CV67" s="152"/>
      <c r="CW67" s="152"/>
      <c r="CX67" s="152"/>
      <c r="CY67" s="152"/>
      <c r="CZ67" s="152"/>
      <c r="DA67" s="152"/>
      <c r="DB67" s="152"/>
      <c r="DC67" s="152"/>
      <c r="DD67" s="152"/>
      <c r="DE67" s="152"/>
      <c r="DF67" s="152"/>
      <c r="DG67" s="152"/>
      <c r="DH67" s="152"/>
      <c r="DI67" s="152"/>
      <c r="DJ67" s="152"/>
      <c r="DK67" s="152"/>
      <c r="DL67" s="152"/>
      <c r="DM67" s="152"/>
      <c r="DN67" s="152"/>
      <c r="DO67" s="152"/>
      <c r="DP67" s="152"/>
      <c r="DQ67" s="152"/>
      <c r="DR67" s="152"/>
      <c r="DS67" s="152"/>
      <c r="DT67" s="152"/>
      <c r="DU67" s="152"/>
      <c r="DV67" s="152"/>
      <c r="DW67" s="152"/>
      <c r="DX67" s="152"/>
      <c r="DY67" s="152"/>
      <c r="DZ67" s="152"/>
      <c r="EA67" s="152"/>
      <c r="EB67" s="152"/>
      <c r="EC67" s="152"/>
      <c r="ED67" s="152"/>
      <c r="EE67" s="152"/>
      <c r="EF67" s="152"/>
      <c r="EG67" s="152"/>
      <c r="EH67" s="152"/>
      <c r="EI67" s="152"/>
      <c r="EJ67" s="152"/>
      <c r="EK67" s="152"/>
      <c r="EL67" s="152"/>
      <c r="EM67" s="152"/>
      <c r="EN67" s="152"/>
      <c r="EO67" s="152"/>
      <c r="EP67" s="152"/>
      <c r="EQ67" s="152"/>
      <c r="ER67" s="152"/>
      <c r="ES67" s="152"/>
      <c r="ET67" s="152"/>
      <c r="EU67" s="152"/>
      <c r="EV67" s="152"/>
      <c r="EW67" s="152"/>
      <c r="EX67" s="152"/>
      <c r="EY67" s="152"/>
      <c r="EZ67" s="152"/>
      <c r="FA67" s="152"/>
      <c r="FB67" s="152"/>
      <c r="FC67" s="152"/>
      <c r="FD67" s="152"/>
      <c r="FE67" s="152"/>
      <c r="FF67" s="152"/>
      <c r="FG67" s="152"/>
      <c r="FH67" s="152"/>
      <c r="FI67" s="152"/>
      <c r="FJ67" s="152"/>
      <c r="FK67" s="152"/>
      <c r="FL67" s="152"/>
      <c r="FM67" s="152"/>
      <c r="FN67" s="152"/>
      <c r="FO67" s="152"/>
      <c r="FP67" s="152"/>
      <c r="FQ67" s="152"/>
      <c r="FR67" s="152"/>
      <c r="FS67" s="152"/>
      <c r="FT67" s="152"/>
      <c r="FU67" s="152"/>
      <c r="FV67" s="152"/>
      <c r="FW67" s="152"/>
      <c r="FX67" s="152"/>
    </row>
    <row r="68" spans="1:180" s="150" customFormat="1" ht="30.75" customHeight="1" thickTop="1" thickBot="1" x14ac:dyDescent="0.3">
      <c r="A68" s="621" t="s">
        <v>2478</v>
      </c>
      <c r="B68" s="625" t="s">
        <v>2545</v>
      </c>
      <c r="C68" s="654"/>
      <c r="D68" s="418">
        <v>3</v>
      </c>
      <c r="E68" s="418">
        <v>30</v>
      </c>
      <c r="F68" s="418">
        <v>3</v>
      </c>
      <c r="G68" s="418">
        <v>520</v>
      </c>
      <c r="H68" s="415">
        <v>304481076</v>
      </c>
      <c r="I68" s="415">
        <v>91564067</v>
      </c>
      <c r="J68" s="416" t="s">
        <v>1007</v>
      </c>
      <c r="K68" s="418" t="s">
        <v>25</v>
      </c>
      <c r="L68" s="417">
        <v>5</v>
      </c>
      <c r="M68" s="417">
        <v>2</v>
      </c>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G68" s="152"/>
      <c r="CH68" s="152"/>
      <c r="CI68" s="152"/>
      <c r="CJ68" s="152"/>
      <c r="CK68" s="152"/>
      <c r="CL68" s="152"/>
      <c r="CM68" s="152"/>
      <c r="CN68" s="152"/>
      <c r="CO68" s="152"/>
      <c r="CP68" s="152"/>
      <c r="CQ68" s="152"/>
      <c r="CR68" s="152"/>
      <c r="CS68" s="152"/>
      <c r="CT68" s="152"/>
      <c r="CU68" s="152"/>
      <c r="CV68" s="152"/>
      <c r="CW68" s="152"/>
      <c r="CX68" s="152"/>
      <c r="CY68" s="152"/>
      <c r="CZ68" s="152"/>
      <c r="DA68" s="152"/>
      <c r="DB68" s="152"/>
      <c r="DC68" s="152"/>
      <c r="DD68" s="152"/>
      <c r="DE68" s="152"/>
      <c r="DF68" s="152"/>
      <c r="DG68" s="152"/>
      <c r="DH68" s="152"/>
      <c r="DI68" s="152"/>
      <c r="DJ68" s="152"/>
      <c r="DK68" s="152"/>
      <c r="DL68" s="152"/>
      <c r="DM68" s="152"/>
      <c r="DN68" s="152"/>
      <c r="DO68" s="152"/>
      <c r="DP68" s="152"/>
      <c r="DQ68" s="152"/>
      <c r="DR68" s="152"/>
      <c r="DS68" s="152"/>
      <c r="DT68" s="152"/>
      <c r="DU68" s="152"/>
      <c r="DV68" s="152"/>
      <c r="DW68" s="152"/>
      <c r="DX68" s="152"/>
      <c r="DY68" s="152"/>
      <c r="DZ68" s="152"/>
      <c r="EA68" s="152"/>
      <c r="EB68" s="152"/>
      <c r="EC68" s="152"/>
      <c r="ED68" s="152"/>
      <c r="EE68" s="152"/>
      <c r="EF68" s="152"/>
      <c r="EG68" s="152"/>
      <c r="EH68" s="152"/>
      <c r="EI68" s="152"/>
      <c r="EJ68" s="152"/>
      <c r="EK68" s="152"/>
      <c r="EL68" s="152"/>
      <c r="EM68" s="152"/>
      <c r="EN68" s="152"/>
      <c r="EO68" s="152"/>
      <c r="EP68" s="152"/>
      <c r="EQ68" s="152"/>
      <c r="ER68" s="152"/>
      <c r="ES68" s="152"/>
      <c r="ET68" s="152"/>
      <c r="EU68" s="152"/>
      <c r="EV68" s="152"/>
      <c r="EW68" s="152"/>
      <c r="EX68" s="152"/>
      <c r="EY68" s="152"/>
      <c r="EZ68" s="152"/>
      <c r="FA68" s="152"/>
      <c r="FB68" s="152"/>
      <c r="FC68" s="152"/>
      <c r="FD68" s="152"/>
      <c r="FE68" s="152"/>
      <c r="FF68" s="152"/>
      <c r="FG68" s="152"/>
      <c r="FH68" s="152"/>
      <c r="FI68" s="152"/>
      <c r="FJ68" s="152"/>
      <c r="FK68" s="152"/>
      <c r="FL68" s="152"/>
      <c r="FM68" s="152"/>
      <c r="FN68" s="152"/>
      <c r="FO68" s="152"/>
      <c r="FP68" s="152"/>
      <c r="FQ68" s="152"/>
      <c r="FR68" s="152"/>
      <c r="FS68" s="152"/>
      <c r="FT68" s="152"/>
      <c r="FU68" s="152"/>
      <c r="FV68" s="152"/>
      <c r="FW68" s="152"/>
      <c r="FX68" s="152"/>
    </row>
    <row r="69" spans="1:180" s="150" customFormat="1" ht="30.75" customHeight="1" thickTop="1" thickBot="1" x14ac:dyDescent="0.3">
      <c r="A69" s="621" t="s">
        <v>2478</v>
      </c>
      <c r="B69" s="625" t="s">
        <v>2545</v>
      </c>
      <c r="C69" s="654"/>
      <c r="D69" s="418">
        <v>3</v>
      </c>
      <c r="E69" s="418">
        <v>30</v>
      </c>
      <c r="F69" s="418">
        <v>3</v>
      </c>
      <c r="G69" s="418">
        <v>520</v>
      </c>
      <c r="H69" s="415">
        <v>244697284</v>
      </c>
      <c r="I69" s="415">
        <v>41620162</v>
      </c>
      <c r="J69" s="416" t="s">
        <v>1008</v>
      </c>
      <c r="K69" s="418" t="s">
        <v>13</v>
      </c>
      <c r="L69" s="417">
        <v>4</v>
      </c>
      <c r="M69" s="417">
        <v>1</v>
      </c>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52"/>
      <c r="CH69" s="152"/>
      <c r="CI69" s="152"/>
      <c r="CJ69" s="152"/>
      <c r="CK69" s="152"/>
      <c r="CL69" s="152"/>
      <c r="CM69" s="152"/>
      <c r="CN69" s="152"/>
      <c r="CO69" s="152"/>
      <c r="CP69" s="152"/>
      <c r="CQ69" s="152"/>
      <c r="CR69" s="152"/>
      <c r="CS69" s="152"/>
      <c r="CT69" s="152"/>
      <c r="CU69" s="152"/>
      <c r="CV69" s="152"/>
      <c r="CW69" s="152"/>
      <c r="CX69" s="152"/>
      <c r="CY69" s="152"/>
      <c r="CZ69" s="152"/>
      <c r="DA69" s="152"/>
      <c r="DB69" s="152"/>
      <c r="DC69" s="152"/>
      <c r="DD69" s="152"/>
      <c r="DE69" s="152"/>
      <c r="DF69" s="152"/>
      <c r="DG69" s="152"/>
      <c r="DH69" s="152"/>
      <c r="DI69" s="152"/>
      <c r="DJ69" s="152"/>
      <c r="DK69" s="152"/>
      <c r="DL69" s="152"/>
      <c r="DM69" s="152"/>
      <c r="DN69" s="152"/>
      <c r="DO69" s="152"/>
      <c r="DP69" s="152"/>
      <c r="DQ69" s="152"/>
      <c r="DR69" s="152"/>
      <c r="DS69" s="152"/>
      <c r="DT69" s="152"/>
      <c r="DU69" s="152"/>
      <c r="DV69" s="152"/>
      <c r="DW69" s="152"/>
      <c r="DX69" s="152"/>
      <c r="DY69" s="152"/>
      <c r="DZ69" s="152"/>
      <c r="EA69" s="152"/>
      <c r="EB69" s="152"/>
      <c r="EC69" s="152"/>
      <c r="ED69" s="152"/>
      <c r="EE69" s="152"/>
      <c r="EF69" s="152"/>
      <c r="EG69" s="152"/>
      <c r="EH69" s="152"/>
      <c r="EI69" s="152"/>
      <c r="EJ69" s="152"/>
      <c r="EK69" s="152"/>
      <c r="EL69" s="152"/>
      <c r="EM69" s="152"/>
      <c r="EN69" s="152"/>
      <c r="EO69" s="152"/>
      <c r="EP69" s="152"/>
      <c r="EQ69" s="152"/>
      <c r="ER69" s="152"/>
      <c r="ES69" s="152"/>
      <c r="ET69" s="152"/>
      <c r="EU69" s="152"/>
      <c r="EV69" s="152"/>
      <c r="EW69" s="152"/>
      <c r="EX69" s="152"/>
      <c r="EY69" s="152"/>
      <c r="EZ69" s="152"/>
      <c r="FA69" s="152"/>
      <c r="FB69" s="152"/>
      <c r="FC69" s="152"/>
      <c r="FD69" s="152"/>
      <c r="FE69" s="152"/>
      <c r="FF69" s="152"/>
      <c r="FG69" s="152"/>
      <c r="FH69" s="152"/>
      <c r="FI69" s="152"/>
      <c r="FJ69" s="152"/>
      <c r="FK69" s="152"/>
      <c r="FL69" s="152"/>
      <c r="FM69" s="152"/>
      <c r="FN69" s="152"/>
      <c r="FO69" s="152"/>
      <c r="FP69" s="152"/>
      <c r="FQ69" s="152"/>
      <c r="FR69" s="152"/>
      <c r="FS69" s="152"/>
      <c r="FT69" s="152"/>
      <c r="FU69" s="152"/>
      <c r="FV69" s="152"/>
      <c r="FW69" s="152"/>
      <c r="FX69" s="152"/>
    </row>
    <row r="70" spans="1:180" s="150" customFormat="1" ht="30.75" customHeight="1" thickTop="1" thickBot="1" x14ac:dyDescent="0.3">
      <c r="A70" s="621" t="s">
        <v>2478</v>
      </c>
      <c r="B70" s="625" t="s">
        <v>2545</v>
      </c>
      <c r="C70" s="654"/>
      <c r="D70" s="418">
        <v>3</v>
      </c>
      <c r="E70" s="418">
        <v>30</v>
      </c>
      <c r="F70" s="418">
        <v>3</v>
      </c>
      <c r="G70" s="418">
        <v>520</v>
      </c>
      <c r="H70" s="415">
        <v>159506552</v>
      </c>
      <c r="I70" s="415">
        <v>0</v>
      </c>
      <c r="J70" s="416" t="s">
        <v>1009</v>
      </c>
      <c r="K70" s="418" t="s">
        <v>13</v>
      </c>
      <c r="L70" s="417">
        <v>1</v>
      </c>
      <c r="M70" s="417">
        <v>0</v>
      </c>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52"/>
      <c r="CG70" s="152"/>
      <c r="CH70" s="152"/>
      <c r="CI70" s="152"/>
      <c r="CJ70" s="152"/>
      <c r="CK70" s="152"/>
      <c r="CL70" s="152"/>
      <c r="CM70" s="152"/>
      <c r="CN70" s="152"/>
      <c r="CO70" s="152"/>
      <c r="CP70" s="152"/>
      <c r="CQ70" s="152"/>
      <c r="CR70" s="152"/>
      <c r="CS70" s="152"/>
      <c r="CT70" s="152"/>
      <c r="CU70" s="152"/>
      <c r="CV70" s="152"/>
      <c r="CW70" s="152"/>
      <c r="CX70" s="152"/>
      <c r="CY70" s="152"/>
      <c r="CZ70" s="152"/>
      <c r="DA70" s="152"/>
      <c r="DB70" s="152"/>
      <c r="DC70" s="152"/>
      <c r="DD70" s="152"/>
      <c r="DE70" s="152"/>
      <c r="DF70" s="152"/>
      <c r="DG70" s="152"/>
      <c r="DH70" s="152"/>
      <c r="DI70" s="152"/>
      <c r="DJ70" s="152"/>
      <c r="DK70" s="152"/>
      <c r="DL70" s="152"/>
      <c r="DM70" s="152"/>
      <c r="DN70" s="152"/>
      <c r="DO70" s="152"/>
      <c r="DP70" s="152"/>
      <c r="DQ70" s="152"/>
      <c r="DR70" s="152"/>
      <c r="DS70" s="152"/>
      <c r="DT70" s="152"/>
      <c r="DU70" s="152"/>
      <c r="DV70" s="152"/>
      <c r="DW70" s="152"/>
      <c r="DX70" s="152"/>
      <c r="DY70" s="152"/>
      <c r="DZ70" s="152"/>
      <c r="EA70" s="152"/>
      <c r="EB70" s="152"/>
      <c r="EC70" s="152"/>
      <c r="ED70" s="152"/>
      <c r="EE70" s="152"/>
      <c r="EF70" s="152"/>
      <c r="EG70" s="152"/>
      <c r="EH70" s="152"/>
      <c r="EI70" s="152"/>
      <c r="EJ70" s="152"/>
      <c r="EK70" s="152"/>
      <c r="EL70" s="152"/>
      <c r="EM70" s="152"/>
      <c r="EN70" s="152"/>
      <c r="EO70" s="152"/>
      <c r="EP70" s="152"/>
      <c r="EQ70" s="152"/>
      <c r="ER70" s="152"/>
      <c r="ES70" s="152"/>
      <c r="ET70" s="152"/>
      <c r="EU70" s="152"/>
      <c r="EV70" s="152"/>
      <c r="EW70" s="152"/>
      <c r="EX70" s="152"/>
      <c r="EY70" s="152"/>
      <c r="EZ70" s="152"/>
      <c r="FA70" s="152"/>
      <c r="FB70" s="152"/>
      <c r="FC70" s="152"/>
      <c r="FD70" s="152"/>
      <c r="FE70" s="152"/>
      <c r="FF70" s="152"/>
      <c r="FG70" s="152"/>
      <c r="FH70" s="152"/>
      <c r="FI70" s="152"/>
      <c r="FJ70" s="152"/>
      <c r="FK70" s="152"/>
      <c r="FL70" s="152"/>
      <c r="FM70" s="152"/>
      <c r="FN70" s="152"/>
      <c r="FO70" s="152"/>
      <c r="FP70" s="152"/>
      <c r="FQ70" s="152"/>
      <c r="FR70" s="152"/>
      <c r="FS70" s="152"/>
      <c r="FT70" s="152"/>
      <c r="FU70" s="152"/>
      <c r="FV70" s="152"/>
      <c r="FW70" s="152"/>
      <c r="FX70" s="152"/>
    </row>
    <row r="71" spans="1:180" s="150" customFormat="1" ht="30.75" customHeight="1" thickTop="1" thickBot="1" x14ac:dyDescent="0.3">
      <c r="A71" s="621" t="s">
        <v>2478</v>
      </c>
      <c r="B71" s="625" t="s">
        <v>2545</v>
      </c>
      <c r="C71" s="654"/>
      <c r="D71" s="418">
        <v>3</v>
      </c>
      <c r="E71" s="418">
        <v>30</v>
      </c>
      <c r="F71" s="418">
        <v>3</v>
      </c>
      <c r="G71" s="418">
        <v>520</v>
      </c>
      <c r="H71" s="415">
        <v>4030574</v>
      </c>
      <c r="I71" s="415">
        <v>4030574</v>
      </c>
      <c r="J71" s="416" t="s">
        <v>1010</v>
      </c>
      <c r="K71" s="418" t="s">
        <v>13</v>
      </c>
      <c r="L71" s="417">
        <v>1</v>
      </c>
      <c r="M71" s="417">
        <v>1</v>
      </c>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2"/>
      <c r="CC71" s="152"/>
      <c r="CD71" s="152"/>
      <c r="CE71" s="152"/>
      <c r="CF71" s="152"/>
      <c r="CG71" s="152"/>
      <c r="CH71" s="152"/>
      <c r="CI71" s="152"/>
      <c r="CJ71" s="152"/>
      <c r="CK71" s="152"/>
      <c r="CL71" s="152"/>
      <c r="CM71" s="152"/>
      <c r="CN71" s="152"/>
      <c r="CO71" s="152"/>
      <c r="CP71" s="152"/>
      <c r="CQ71" s="152"/>
      <c r="CR71" s="152"/>
      <c r="CS71" s="152"/>
      <c r="CT71" s="152"/>
      <c r="CU71" s="152"/>
      <c r="CV71" s="152"/>
      <c r="CW71" s="152"/>
      <c r="CX71" s="152"/>
      <c r="CY71" s="152"/>
      <c r="CZ71" s="152"/>
      <c r="DA71" s="152"/>
      <c r="DB71" s="152"/>
      <c r="DC71" s="152"/>
      <c r="DD71" s="152"/>
      <c r="DE71" s="152"/>
      <c r="DF71" s="152"/>
      <c r="DG71" s="152"/>
      <c r="DH71" s="152"/>
      <c r="DI71" s="152"/>
      <c r="DJ71" s="152"/>
      <c r="DK71" s="152"/>
      <c r="DL71" s="152"/>
      <c r="DM71" s="152"/>
      <c r="DN71" s="152"/>
      <c r="DO71" s="152"/>
      <c r="DP71" s="152"/>
      <c r="DQ71" s="152"/>
      <c r="DR71" s="152"/>
      <c r="DS71" s="152"/>
      <c r="DT71" s="152"/>
      <c r="DU71" s="152"/>
      <c r="DV71" s="152"/>
      <c r="DW71" s="152"/>
      <c r="DX71" s="152"/>
      <c r="DY71" s="152"/>
      <c r="DZ71" s="152"/>
      <c r="EA71" s="152"/>
      <c r="EB71" s="152"/>
      <c r="EC71" s="152"/>
      <c r="ED71" s="152"/>
      <c r="EE71" s="152"/>
      <c r="EF71" s="152"/>
      <c r="EG71" s="152"/>
      <c r="EH71" s="152"/>
      <c r="EI71" s="152"/>
      <c r="EJ71" s="152"/>
      <c r="EK71" s="152"/>
      <c r="EL71" s="152"/>
      <c r="EM71" s="152"/>
      <c r="EN71" s="152"/>
      <c r="EO71" s="152"/>
      <c r="EP71" s="152"/>
      <c r="EQ71" s="152"/>
      <c r="ER71" s="152"/>
      <c r="ES71" s="152"/>
      <c r="ET71" s="152"/>
      <c r="EU71" s="152"/>
      <c r="EV71" s="152"/>
      <c r="EW71" s="152"/>
      <c r="EX71" s="152"/>
      <c r="EY71" s="152"/>
      <c r="EZ71" s="152"/>
      <c r="FA71" s="152"/>
      <c r="FB71" s="152"/>
      <c r="FC71" s="152"/>
      <c r="FD71" s="152"/>
      <c r="FE71" s="152"/>
      <c r="FF71" s="152"/>
      <c r="FG71" s="152"/>
      <c r="FH71" s="152"/>
      <c r="FI71" s="152"/>
      <c r="FJ71" s="152"/>
      <c r="FK71" s="152"/>
      <c r="FL71" s="152"/>
      <c r="FM71" s="152"/>
      <c r="FN71" s="152"/>
      <c r="FO71" s="152"/>
      <c r="FP71" s="152"/>
      <c r="FQ71" s="152"/>
      <c r="FR71" s="152"/>
      <c r="FS71" s="152"/>
      <c r="FT71" s="152"/>
      <c r="FU71" s="152"/>
      <c r="FV71" s="152"/>
      <c r="FW71" s="152"/>
      <c r="FX71" s="152"/>
    </row>
    <row r="72" spans="1:180" s="150" customFormat="1" ht="30.75" customHeight="1" thickTop="1" thickBot="1" x14ac:dyDescent="0.3">
      <c r="A72" s="621" t="s">
        <v>2478</v>
      </c>
      <c r="B72" s="625" t="s">
        <v>2545</v>
      </c>
      <c r="C72" s="654"/>
      <c r="D72" s="418">
        <v>3</v>
      </c>
      <c r="E72" s="418">
        <v>30</v>
      </c>
      <c r="F72" s="418">
        <v>3</v>
      </c>
      <c r="G72" s="418">
        <v>520</v>
      </c>
      <c r="H72" s="415">
        <v>53694924</v>
      </c>
      <c r="I72" s="415">
        <v>53694924</v>
      </c>
      <c r="J72" s="416" t="s">
        <v>1011</v>
      </c>
      <c r="K72" s="418" t="s">
        <v>13</v>
      </c>
      <c r="L72" s="417">
        <v>1</v>
      </c>
      <c r="M72" s="417">
        <v>1</v>
      </c>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c r="CG72" s="152"/>
      <c r="CH72" s="152"/>
      <c r="CI72" s="152"/>
      <c r="CJ72" s="152"/>
      <c r="CK72" s="152"/>
      <c r="CL72" s="152"/>
      <c r="CM72" s="152"/>
      <c r="CN72" s="152"/>
      <c r="CO72" s="152"/>
      <c r="CP72" s="152"/>
      <c r="CQ72" s="152"/>
      <c r="CR72" s="152"/>
      <c r="CS72" s="152"/>
      <c r="CT72" s="152"/>
      <c r="CU72" s="152"/>
      <c r="CV72" s="152"/>
      <c r="CW72" s="152"/>
      <c r="CX72" s="152"/>
      <c r="CY72" s="152"/>
      <c r="CZ72" s="152"/>
      <c r="DA72" s="152"/>
      <c r="DB72" s="152"/>
      <c r="DC72" s="152"/>
      <c r="DD72" s="152"/>
      <c r="DE72" s="152"/>
      <c r="DF72" s="152"/>
      <c r="DG72" s="152"/>
      <c r="DH72" s="152"/>
      <c r="DI72" s="152"/>
      <c r="DJ72" s="152"/>
      <c r="DK72" s="152"/>
      <c r="DL72" s="152"/>
      <c r="DM72" s="152"/>
      <c r="DN72" s="152"/>
      <c r="DO72" s="152"/>
      <c r="DP72" s="152"/>
      <c r="DQ72" s="152"/>
      <c r="DR72" s="152"/>
      <c r="DS72" s="152"/>
      <c r="DT72" s="152"/>
      <c r="DU72" s="152"/>
      <c r="DV72" s="152"/>
      <c r="DW72" s="152"/>
      <c r="DX72" s="152"/>
      <c r="DY72" s="152"/>
      <c r="DZ72" s="152"/>
      <c r="EA72" s="152"/>
      <c r="EB72" s="152"/>
      <c r="EC72" s="152"/>
      <c r="ED72" s="152"/>
      <c r="EE72" s="152"/>
      <c r="EF72" s="152"/>
      <c r="EG72" s="152"/>
      <c r="EH72" s="152"/>
      <c r="EI72" s="152"/>
      <c r="EJ72" s="152"/>
      <c r="EK72" s="152"/>
      <c r="EL72" s="152"/>
      <c r="EM72" s="152"/>
      <c r="EN72" s="152"/>
      <c r="EO72" s="152"/>
      <c r="EP72" s="152"/>
      <c r="EQ72" s="152"/>
      <c r="ER72" s="152"/>
      <c r="ES72" s="152"/>
      <c r="ET72" s="152"/>
      <c r="EU72" s="152"/>
      <c r="EV72" s="152"/>
      <c r="EW72" s="152"/>
      <c r="EX72" s="152"/>
      <c r="EY72" s="152"/>
      <c r="EZ72" s="152"/>
      <c r="FA72" s="152"/>
      <c r="FB72" s="152"/>
      <c r="FC72" s="152"/>
      <c r="FD72" s="152"/>
      <c r="FE72" s="152"/>
      <c r="FF72" s="152"/>
      <c r="FG72" s="152"/>
      <c r="FH72" s="152"/>
      <c r="FI72" s="152"/>
      <c r="FJ72" s="152"/>
      <c r="FK72" s="152"/>
      <c r="FL72" s="152"/>
      <c r="FM72" s="152"/>
      <c r="FN72" s="152"/>
      <c r="FO72" s="152"/>
      <c r="FP72" s="152"/>
      <c r="FQ72" s="152"/>
      <c r="FR72" s="152"/>
      <c r="FS72" s="152"/>
      <c r="FT72" s="152"/>
      <c r="FU72" s="152"/>
      <c r="FV72" s="152"/>
      <c r="FW72" s="152"/>
      <c r="FX72" s="152"/>
    </row>
    <row r="73" spans="1:180" s="150" customFormat="1" ht="30.75" customHeight="1" thickTop="1" thickBot="1" x14ac:dyDescent="0.3">
      <c r="A73" s="621" t="s">
        <v>2478</v>
      </c>
      <c r="B73" s="625" t="s">
        <v>2545</v>
      </c>
      <c r="C73" s="654"/>
      <c r="D73" s="418">
        <v>3</v>
      </c>
      <c r="E73" s="418">
        <v>30</v>
      </c>
      <c r="F73" s="418">
        <v>3</v>
      </c>
      <c r="G73" s="418">
        <v>520</v>
      </c>
      <c r="H73" s="415">
        <v>70000000</v>
      </c>
      <c r="I73" s="415">
        <v>0</v>
      </c>
      <c r="J73" s="416" t="s">
        <v>1012</v>
      </c>
      <c r="K73" s="418" t="s">
        <v>11</v>
      </c>
      <c r="L73" s="417">
        <v>937</v>
      </c>
      <c r="M73" s="417">
        <v>0</v>
      </c>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2"/>
      <c r="CM73" s="152"/>
      <c r="CN73" s="152"/>
      <c r="CO73" s="152"/>
      <c r="CP73" s="152"/>
      <c r="CQ73" s="152"/>
      <c r="CR73" s="152"/>
      <c r="CS73" s="152"/>
      <c r="CT73" s="152"/>
      <c r="CU73" s="152"/>
      <c r="CV73" s="152"/>
      <c r="CW73" s="152"/>
      <c r="CX73" s="152"/>
      <c r="CY73" s="152"/>
      <c r="CZ73" s="152"/>
      <c r="DA73" s="152"/>
      <c r="DB73" s="152"/>
      <c r="DC73" s="152"/>
      <c r="DD73" s="152"/>
      <c r="DE73" s="152"/>
      <c r="DF73" s="152"/>
      <c r="DG73" s="152"/>
      <c r="DH73" s="152"/>
      <c r="DI73" s="152"/>
      <c r="DJ73" s="152"/>
      <c r="DK73" s="152"/>
      <c r="DL73" s="152"/>
      <c r="DM73" s="152"/>
      <c r="DN73" s="152"/>
      <c r="DO73" s="152"/>
      <c r="DP73" s="152"/>
      <c r="DQ73" s="152"/>
      <c r="DR73" s="152"/>
      <c r="DS73" s="152"/>
      <c r="DT73" s="152"/>
      <c r="DU73" s="152"/>
      <c r="DV73" s="152"/>
      <c r="DW73" s="152"/>
      <c r="DX73" s="152"/>
      <c r="DY73" s="152"/>
      <c r="DZ73" s="152"/>
      <c r="EA73" s="152"/>
      <c r="EB73" s="152"/>
      <c r="EC73" s="152"/>
      <c r="ED73" s="152"/>
      <c r="EE73" s="152"/>
      <c r="EF73" s="152"/>
      <c r="EG73" s="152"/>
      <c r="EH73" s="152"/>
      <c r="EI73" s="152"/>
      <c r="EJ73" s="152"/>
      <c r="EK73" s="152"/>
      <c r="EL73" s="152"/>
      <c r="EM73" s="152"/>
      <c r="EN73" s="152"/>
      <c r="EO73" s="152"/>
      <c r="EP73" s="152"/>
      <c r="EQ73" s="152"/>
      <c r="ER73" s="152"/>
      <c r="ES73" s="152"/>
      <c r="ET73" s="152"/>
      <c r="EU73" s="152"/>
      <c r="EV73" s="152"/>
      <c r="EW73" s="152"/>
      <c r="EX73" s="152"/>
      <c r="EY73" s="152"/>
      <c r="EZ73" s="152"/>
      <c r="FA73" s="152"/>
      <c r="FB73" s="152"/>
      <c r="FC73" s="152"/>
      <c r="FD73" s="152"/>
      <c r="FE73" s="152"/>
      <c r="FF73" s="152"/>
      <c r="FG73" s="152"/>
      <c r="FH73" s="152"/>
      <c r="FI73" s="152"/>
      <c r="FJ73" s="152"/>
      <c r="FK73" s="152"/>
      <c r="FL73" s="152"/>
      <c r="FM73" s="152"/>
      <c r="FN73" s="152"/>
      <c r="FO73" s="152"/>
      <c r="FP73" s="152"/>
      <c r="FQ73" s="152"/>
      <c r="FR73" s="152"/>
      <c r="FS73" s="152"/>
      <c r="FT73" s="152"/>
      <c r="FU73" s="152"/>
      <c r="FV73" s="152"/>
      <c r="FW73" s="152"/>
      <c r="FX73" s="152"/>
    </row>
    <row r="74" spans="1:180" s="150" customFormat="1" ht="30.75" customHeight="1" thickTop="1" thickBot="1" x14ac:dyDescent="0.3">
      <c r="A74" s="621" t="s">
        <v>2478</v>
      </c>
      <c r="B74" s="625" t="s">
        <v>2545</v>
      </c>
      <c r="C74" s="654"/>
      <c r="D74" s="418">
        <v>3</v>
      </c>
      <c r="E74" s="418">
        <v>30</v>
      </c>
      <c r="F74" s="418">
        <v>3</v>
      </c>
      <c r="G74" s="418">
        <v>520</v>
      </c>
      <c r="H74" s="415">
        <v>92000000</v>
      </c>
      <c r="I74" s="415">
        <v>0</v>
      </c>
      <c r="J74" s="416" t="s">
        <v>1013</v>
      </c>
      <c r="K74" s="418" t="s">
        <v>13</v>
      </c>
      <c r="L74" s="417">
        <v>1</v>
      </c>
      <c r="M74" s="417">
        <v>0</v>
      </c>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52"/>
      <c r="CH74" s="152"/>
      <c r="CI74" s="152"/>
      <c r="CJ74" s="152"/>
      <c r="CK74" s="152"/>
      <c r="CL74" s="152"/>
      <c r="CM74" s="152"/>
      <c r="CN74" s="152"/>
      <c r="CO74" s="152"/>
      <c r="CP74" s="152"/>
      <c r="CQ74" s="152"/>
      <c r="CR74" s="152"/>
      <c r="CS74" s="152"/>
      <c r="CT74" s="152"/>
      <c r="CU74" s="152"/>
      <c r="CV74" s="152"/>
      <c r="CW74" s="152"/>
      <c r="CX74" s="152"/>
      <c r="CY74" s="152"/>
      <c r="CZ74" s="152"/>
      <c r="DA74" s="152"/>
      <c r="DB74" s="152"/>
      <c r="DC74" s="152"/>
      <c r="DD74" s="152"/>
      <c r="DE74" s="152"/>
      <c r="DF74" s="152"/>
      <c r="DG74" s="152"/>
      <c r="DH74" s="152"/>
      <c r="DI74" s="152"/>
      <c r="DJ74" s="152"/>
      <c r="DK74" s="152"/>
      <c r="DL74" s="152"/>
      <c r="DM74" s="152"/>
      <c r="DN74" s="152"/>
      <c r="DO74" s="152"/>
      <c r="DP74" s="152"/>
      <c r="DQ74" s="152"/>
      <c r="DR74" s="152"/>
      <c r="DS74" s="152"/>
      <c r="DT74" s="152"/>
      <c r="DU74" s="152"/>
      <c r="DV74" s="152"/>
      <c r="DW74" s="152"/>
      <c r="DX74" s="152"/>
      <c r="DY74" s="152"/>
      <c r="DZ74" s="152"/>
      <c r="EA74" s="152"/>
      <c r="EB74" s="152"/>
      <c r="EC74" s="152"/>
      <c r="ED74" s="152"/>
      <c r="EE74" s="152"/>
      <c r="EF74" s="152"/>
      <c r="EG74" s="152"/>
      <c r="EH74" s="152"/>
      <c r="EI74" s="152"/>
      <c r="EJ74" s="152"/>
      <c r="EK74" s="152"/>
      <c r="EL74" s="152"/>
      <c r="EM74" s="152"/>
      <c r="EN74" s="152"/>
      <c r="EO74" s="152"/>
      <c r="EP74" s="152"/>
      <c r="EQ74" s="152"/>
      <c r="ER74" s="152"/>
      <c r="ES74" s="152"/>
      <c r="ET74" s="152"/>
      <c r="EU74" s="152"/>
      <c r="EV74" s="152"/>
      <c r="EW74" s="152"/>
      <c r="EX74" s="152"/>
      <c r="EY74" s="152"/>
      <c r="EZ74" s="152"/>
      <c r="FA74" s="152"/>
      <c r="FB74" s="152"/>
      <c r="FC74" s="152"/>
      <c r="FD74" s="152"/>
      <c r="FE74" s="152"/>
      <c r="FF74" s="152"/>
      <c r="FG74" s="152"/>
      <c r="FH74" s="152"/>
      <c r="FI74" s="152"/>
      <c r="FJ74" s="152"/>
      <c r="FK74" s="152"/>
      <c r="FL74" s="152"/>
      <c r="FM74" s="152"/>
      <c r="FN74" s="152"/>
      <c r="FO74" s="152"/>
      <c r="FP74" s="152"/>
      <c r="FQ74" s="152"/>
      <c r="FR74" s="152"/>
      <c r="FS74" s="152"/>
      <c r="FT74" s="152"/>
      <c r="FU74" s="152"/>
      <c r="FV74" s="152"/>
      <c r="FW74" s="152"/>
      <c r="FX74" s="152"/>
    </row>
    <row r="75" spans="1:180" s="150" customFormat="1" ht="30.75" customHeight="1" thickTop="1" thickBot="1" x14ac:dyDescent="0.3">
      <c r="A75" s="621" t="s">
        <v>2478</v>
      </c>
      <c r="B75" s="625" t="s">
        <v>2545</v>
      </c>
      <c r="C75" s="654"/>
      <c r="D75" s="418">
        <v>3</v>
      </c>
      <c r="E75" s="418">
        <v>30</v>
      </c>
      <c r="F75" s="418">
        <v>3</v>
      </c>
      <c r="G75" s="418">
        <v>520</v>
      </c>
      <c r="H75" s="415">
        <v>34300591</v>
      </c>
      <c r="I75" s="415">
        <v>0</v>
      </c>
      <c r="J75" s="416" t="s">
        <v>1014</v>
      </c>
      <c r="K75" s="418" t="s">
        <v>25</v>
      </c>
      <c r="L75" s="417">
        <v>2</v>
      </c>
      <c r="M75" s="417">
        <v>0</v>
      </c>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52"/>
      <c r="CG75" s="152"/>
      <c r="CH75" s="152"/>
      <c r="CI75" s="152"/>
      <c r="CJ75" s="152"/>
      <c r="CK75" s="152"/>
      <c r="CL75" s="152"/>
      <c r="CM75" s="152"/>
      <c r="CN75" s="152"/>
      <c r="CO75" s="152"/>
      <c r="CP75" s="152"/>
      <c r="CQ75" s="152"/>
      <c r="CR75" s="152"/>
      <c r="CS75" s="152"/>
      <c r="CT75" s="152"/>
      <c r="CU75" s="152"/>
      <c r="CV75" s="152"/>
      <c r="CW75" s="152"/>
      <c r="CX75" s="152"/>
      <c r="CY75" s="152"/>
      <c r="CZ75" s="152"/>
      <c r="DA75" s="152"/>
      <c r="DB75" s="152"/>
      <c r="DC75" s="152"/>
      <c r="DD75" s="152"/>
      <c r="DE75" s="152"/>
      <c r="DF75" s="152"/>
      <c r="DG75" s="152"/>
      <c r="DH75" s="152"/>
      <c r="DI75" s="152"/>
      <c r="DJ75" s="152"/>
      <c r="DK75" s="152"/>
      <c r="DL75" s="152"/>
      <c r="DM75" s="152"/>
      <c r="DN75" s="152"/>
      <c r="DO75" s="152"/>
      <c r="DP75" s="152"/>
      <c r="DQ75" s="152"/>
      <c r="DR75" s="152"/>
      <c r="DS75" s="152"/>
      <c r="DT75" s="152"/>
      <c r="DU75" s="152"/>
      <c r="DV75" s="152"/>
      <c r="DW75" s="152"/>
      <c r="DX75" s="152"/>
      <c r="DY75" s="152"/>
      <c r="DZ75" s="152"/>
      <c r="EA75" s="152"/>
      <c r="EB75" s="152"/>
      <c r="EC75" s="152"/>
      <c r="ED75" s="152"/>
      <c r="EE75" s="152"/>
      <c r="EF75" s="152"/>
      <c r="EG75" s="152"/>
      <c r="EH75" s="152"/>
      <c r="EI75" s="152"/>
      <c r="EJ75" s="152"/>
      <c r="EK75" s="152"/>
      <c r="EL75" s="152"/>
      <c r="EM75" s="152"/>
      <c r="EN75" s="152"/>
      <c r="EO75" s="152"/>
      <c r="EP75" s="152"/>
      <c r="EQ75" s="152"/>
      <c r="ER75" s="152"/>
      <c r="ES75" s="152"/>
      <c r="ET75" s="152"/>
      <c r="EU75" s="152"/>
      <c r="EV75" s="152"/>
      <c r="EW75" s="152"/>
      <c r="EX75" s="152"/>
      <c r="EY75" s="152"/>
      <c r="EZ75" s="152"/>
      <c r="FA75" s="152"/>
      <c r="FB75" s="152"/>
      <c r="FC75" s="152"/>
      <c r="FD75" s="152"/>
      <c r="FE75" s="152"/>
      <c r="FF75" s="152"/>
      <c r="FG75" s="152"/>
      <c r="FH75" s="152"/>
      <c r="FI75" s="152"/>
      <c r="FJ75" s="152"/>
      <c r="FK75" s="152"/>
      <c r="FL75" s="152"/>
      <c r="FM75" s="152"/>
      <c r="FN75" s="152"/>
      <c r="FO75" s="152"/>
      <c r="FP75" s="152"/>
      <c r="FQ75" s="152"/>
      <c r="FR75" s="152"/>
      <c r="FS75" s="152"/>
      <c r="FT75" s="152"/>
      <c r="FU75" s="152"/>
      <c r="FV75" s="152"/>
      <c r="FW75" s="152"/>
      <c r="FX75" s="152"/>
    </row>
    <row r="76" spans="1:180" s="150" customFormat="1" ht="39.75" customHeight="1" thickTop="1" thickBot="1" x14ac:dyDescent="0.3">
      <c r="A76" s="621" t="s">
        <v>2478</v>
      </c>
      <c r="B76" s="625" t="s">
        <v>2545</v>
      </c>
      <c r="C76" s="654"/>
      <c r="D76" s="418">
        <v>3</v>
      </c>
      <c r="E76" s="418">
        <v>30</v>
      </c>
      <c r="F76" s="418">
        <v>3</v>
      </c>
      <c r="G76" s="418">
        <v>520</v>
      </c>
      <c r="H76" s="415">
        <f>180641000+239146486</f>
        <v>419787486</v>
      </c>
      <c r="I76" s="415">
        <v>0</v>
      </c>
      <c r="J76" s="416" t="s">
        <v>1015</v>
      </c>
      <c r="K76" s="418" t="s">
        <v>81</v>
      </c>
      <c r="L76" s="417">
        <v>2</v>
      </c>
      <c r="M76" s="417">
        <v>0</v>
      </c>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c r="CG76" s="152"/>
      <c r="CH76" s="152"/>
      <c r="CI76" s="152"/>
      <c r="CJ76" s="152"/>
      <c r="CK76" s="152"/>
      <c r="CL76" s="152"/>
      <c r="CM76" s="152"/>
      <c r="CN76" s="152"/>
      <c r="CO76" s="152"/>
      <c r="CP76" s="152"/>
      <c r="CQ76" s="152"/>
      <c r="CR76" s="152"/>
      <c r="CS76" s="152"/>
      <c r="CT76" s="152"/>
      <c r="CU76" s="152"/>
      <c r="CV76" s="152"/>
      <c r="CW76" s="152"/>
      <c r="CX76" s="152"/>
      <c r="CY76" s="152"/>
      <c r="CZ76" s="152"/>
      <c r="DA76" s="152"/>
      <c r="DB76" s="152"/>
      <c r="DC76" s="152"/>
      <c r="DD76" s="152"/>
      <c r="DE76" s="152"/>
      <c r="DF76" s="152"/>
      <c r="DG76" s="152"/>
      <c r="DH76" s="152"/>
      <c r="DI76" s="152"/>
      <c r="DJ76" s="152"/>
      <c r="DK76" s="152"/>
      <c r="DL76" s="152"/>
      <c r="DM76" s="152"/>
      <c r="DN76" s="152"/>
      <c r="DO76" s="152"/>
      <c r="DP76" s="152"/>
      <c r="DQ76" s="152"/>
      <c r="DR76" s="152"/>
      <c r="DS76" s="152"/>
      <c r="DT76" s="152"/>
      <c r="DU76" s="152"/>
      <c r="DV76" s="152"/>
      <c r="DW76" s="152"/>
      <c r="DX76" s="152"/>
      <c r="DY76" s="152"/>
      <c r="DZ76" s="152"/>
      <c r="EA76" s="152"/>
      <c r="EB76" s="152"/>
      <c r="EC76" s="152"/>
      <c r="ED76" s="152"/>
      <c r="EE76" s="152"/>
      <c r="EF76" s="152"/>
      <c r="EG76" s="152"/>
      <c r="EH76" s="152"/>
      <c r="EI76" s="152"/>
      <c r="EJ76" s="152"/>
      <c r="EK76" s="152"/>
      <c r="EL76" s="152"/>
      <c r="EM76" s="152"/>
      <c r="EN76" s="152"/>
      <c r="EO76" s="152"/>
      <c r="EP76" s="152"/>
      <c r="EQ76" s="152"/>
      <c r="ER76" s="152"/>
      <c r="ES76" s="152"/>
      <c r="ET76" s="152"/>
      <c r="EU76" s="152"/>
      <c r="EV76" s="152"/>
      <c r="EW76" s="152"/>
      <c r="EX76" s="152"/>
      <c r="EY76" s="152"/>
      <c r="EZ76" s="152"/>
      <c r="FA76" s="152"/>
      <c r="FB76" s="152"/>
      <c r="FC76" s="152"/>
      <c r="FD76" s="152"/>
      <c r="FE76" s="152"/>
      <c r="FF76" s="152"/>
      <c r="FG76" s="152"/>
      <c r="FH76" s="152"/>
      <c r="FI76" s="152"/>
      <c r="FJ76" s="152"/>
      <c r="FK76" s="152"/>
      <c r="FL76" s="152"/>
      <c r="FM76" s="152"/>
      <c r="FN76" s="152"/>
      <c r="FO76" s="152"/>
      <c r="FP76" s="152"/>
      <c r="FQ76" s="152"/>
      <c r="FR76" s="152"/>
      <c r="FS76" s="152"/>
      <c r="FT76" s="152"/>
      <c r="FU76" s="152"/>
      <c r="FV76" s="152"/>
      <c r="FW76" s="152"/>
      <c r="FX76" s="152"/>
    </row>
    <row r="77" spans="1:180" s="150" customFormat="1" ht="39.75" customHeight="1" thickTop="1" thickBot="1" x14ac:dyDescent="0.3">
      <c r="A77" s="621" t="s">
        <v>2478</v>
      </c>
      <c r="B77" s="625" t="s">
        <v>2545</v>
      </c>
      <c r="C77" s="654"/>
      <c r="D77" s="418">
        <v>3</v>
      </c>
      <c r="E77" s="418">
        <v>30</v>
      </c>
      <c r="F77" s="418">
        <v>3</v>
      </c>
      <c r="G77" s="418">
        <v>520</v>
      </c>
      <c r="H77" s="415">
        <v>95658595</v>
      </c>
      <c r="I77" s="415">
        <v>0</v>
      </c>
      <c r="J77" s="416" t="s">
        <v>1016</v>
      </c>
      <c r="K77" s="418" t="s">
        <v>11</v>
      </c>
      <c r="L77" s="417">
        <v>1200</v>
      </c>
      <c r="M77" s="417">
        <v>0</v>
      </c>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52"/>
      <c r="CG77" s="152"/>
      <c r="CH77" s="152"/>
      <c r="CI77" s="152"/>
      <c r="CJ77" s="152"/>
      <c r="CK77" s="152"/>
      <c r="CL77" s="152"/>
      <c r="CM77" s="152"/>
      <c r="CN77" s="152"/>
      <c r="CO77" s="152"/>
      <c r="CP77" s="152"/>
      <c r="CQ77" s="152"/>
      <c r="CR77" s="152"/>
      <c r="CS77" s="152"/>
      <c r="CT77" s="152"/>
      <c r="CU77" s="152"/>
      <c r="CV77" s="152"/>
      <c r="CW77" s="152"/>
      <c r="CX77" s="152"/>
      <c r="CY77" s="152"/>
      <c r="CZ77" s="152"/>
      <c r="DA77" s="152"/>
      <c r="DB77" s="152"/>
      <c r="DC77" s="152"/>
      <c r="DD77" s="152"/>
      <c r="DE77" s="152"/>
      <c r="DF77" s="152"/>
      <c r="DG77" s="152"/>
      <c r="DH77" s="152"/>
      <c r="DI77" s="152"/>
      <c r="DJ77" s="152"/>
      <c r="DK77" s="152"/>
      <c r="DL77" s="152"/>
      <c r="DM77" s="152"/>
      <c r="DN77" s="152"/>
      <c r="DO77" s="152"/>
      <c r="DP77" s="152"/>
      <c r="DQ77" s="152"/>
      <c r="DR77" s="152"/>
      <c r="DS77" s="152"/>
      <c r="DT77" s="152"/>
      <c r="DU77" s="152"/>
      <c r="DV77" s="152"/>
      <c r="DW77" s="152"/>
      <c r="DX77" s="152"/>
      <c r="DY77" s="152"/>
      <c r="DZ77" s="152"/>
      <c r="EA77" s="152"/>
      <c r="EB77" s="152"/>
      <c r="EC77" s="152"/>
      <c r="ED77" s="152"/>
      <c r="EE77" s="152"/>
      <c r="EF77" s="152"/>
      <c r="EG77" s="152"/>
      <c r="EH77" s="152"/>
      <c r="EI77" s="152"/>
      <c r="EJ77" s="152"/>
      <c r="EK77" s="152"/>
      <c r="EL77" s="152"/>
      <c r="EM77" s="152"/>
      <c r="EN77" s="152"/>
      <c r="EO77" s="152"/>
      <c r="EP77" s="152"/>
      <c r="EQ77" s="152"/>
      <c r="ER77" s="152"/>
      <c r="ES77" s="152"/>
      <c r="ET77" s="152"/>
      <c r="EU77" s="152"/>
      <c r="EV77" s="152"/>
      <c r="EW77" s="152"/>
      <c r="EX77" s="152"/>
      <c r="EY77" s="152"/>
      <c r="EZ77" s="152"/>
      <c r="FA77" s="152"/>
      <c r="FB77" s="152"/>
      <c r="FC77" s="152"/>
      <c r="FD77" s="152"/>
      <c r="FE77" s="152"/>
      <c r="FF77" s="152"/>
      <c r="FG77" s="152"/>
      <c r="FH77" s="152"/>
      <c r="FI77" s="152"/>
      <c r="FJ77" s="152"/>
      <c r="FK77" s="152"/>
      <c r="FL77" s="152"/>
      <c r="FM77" s="152"/>
      <c r="FN77" s="152"/>
      <c r="FO77" s="152"/>
      <c r="FP77" s="152"/>
      <c r="FQ77" s="152"/>
      <c r="FR77" s="152"/>
      <c r="FS77" s="152"/>
      <c r="FT77" s="152"/>
      <c r="FU77" s="152"/>
      <c r="FV77" s="152"/>
      <c r="FW77" s="152"/>
      <c r="FX77" s="152"/>
    </row>
    <row r="78" spans="1:180" s="150" customFormat="1" ht="27.75" customHeight="1" thickTop="1" thickBot="1" x14ac:dyDescent="0.3">
      <c r="A78" s="621" t="s">
        <v>2478</v>
      </c>
      <c r="B78" s="625" t="s">
        <v>2545</v>
      </c>
      <c r="C78" s="659" t="s">
        <v>42</v>
      </c>
      <c r="D78" s="418">
        <v>3</v>
      </c>
      <c r="E78" s="418">
        <v>30</v>
      </c>
      <c r="F78" s="418">
        <v>3</v>
      </c>
      <c r="G78" s="418">
        <v>530</v>
      </c>
      <c r="H78" s="415">
        <v>25000000</v>
      </c>
      <c r="I78" s="415">
        <v>24038500</v>
      </c>
      <c r="J78" s="416" t="s">
        <v>1017</v>
      </c>
      <c r="K78" s="418" t="s">
        <v>17</v>
      </c>
      <c r="L78" s="417">
        <v>1</v>
      </c>
      <c r="M78" s="417">
        <v>1</v>
      </c>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52"/>
      <c r="CG78" s="152"/>
      <c r="CH78" s="152"/>
      <c r="CI78" s="152"/>
      <c r="CJ78" s="152"/>
      <c r="CK78" s="152"/>
      <c r="CL78" s="152"/>
      <c r="CM78" s="152"/>
      <c r="CN78" s="152"/>
      <c r="CO78" s="152"/>
      <c r="CP78" s="152"/>
      <c r="CQ78" s="152"/>
      <c r="CR78" s="152"/>
      <c r="CS78" s="152"/>
      <c r="CT78" s="152"/>
      <c r="CU78" s="152"/>
      <c r="CV78" s="152"/>
      <c r="CW78" s="152"/>
      <c r="CX78" s="152"/>
      <c r="CY78" s="152"/>
      <c r="CZ78" s="152"/>
      <c r="DA78" s="152"/>
      <c r="DB78" s="152"/>
      <c r="DC78" s="152"/>
      <c r="DD78" s="152"/>
      <c r="DE78" s="152"/>
      <c r="DF78" s="152"/>
      <c r="DG78" s="152"/>
      <c r="DH78" s="152"/>
      <c r="DI78" s="152"/>
      <c r="DJ78" s="152"/>
      <c r="DK78" s="152"/>
      <c r="DL78" s="152"/>
      <c r="DM78" s="152"/>
      <c r="DN78" s="152"/>
      <c r="DO78" s="152"/>
      <c r="DP78" s="152"/>
      <c r="DQ78" s="152"/>
      <c r="DR78" s="152"/>
      <c r="DS78" s="152"/>
      <c r="DT78" s="152"/>
      <c r="DU78" s="152"/>
      <c r="DV78" s="152"/>
      <c r="DW78" s="152"/>
      <c r="DX78" s="152"/>
      <c r="DY78" s="152"/>
      <c r="DZ78" s="152"/>
      <c r="EA78" s="152"/>
      <c r="EB78" s="152"/>
      <c r="EC78" s="152"/>
      <c r="ED78" s="152"/>
      <c r="EE78" s="152"/>
      <c r="EF78" s="152"/>
      <c r="EG78" s="152"/>
      <c r="EH78" s="152"/>
      <c r="EI78" s="152"/>
      <c r="EJ78" s="152"/>
      <c r="EK78" s="152"/>
      <c r="EL78" s="152"/>
      <c r="EM78" s="152"/>
      <c r="EN78" s="152"/>
      <c r="EO78" s="152"/>
      <c r="EP78" s="152"/>
      <c r="EQ78" s="152"/>
      <c r="ER78" s="152"/>
      <c r="ES78" s="152"/>
      <c r="ET78" s="152"/>
      <c r="EU78" s="152"/>
      <c r="EV78" s="152"/>
      <c r="EW78" s="152"/>
      <c r="EX78" s="152"/>
      <c r="EY78" s="152"/>
      <c r="EZ78" s="152"/>
      <c r="FA78" s="152"/>
      <c r="FB78" s="152"/>
      <c r="FC78" s="152"/>
      <c r="FD78" s="152"/>
      <c r="FE78" s="152"/>
      <c r="FF78" s="152"/>
      <c r="FG78" s="152"/>
      <c r="FH78" s="152"/>
      <c r="FI78" s="152"/>
      <c r="FJ78" s="152"/>
      <c r="FK78" s="152"/>
      <c r="FL78" s="152"/>
      <c r="FM78" s="152"/>
      <c r="FN78" s="152"/>
      <c r="FO78" s="152"/>
      <c r="FP78" s="152"/>
      <c r="FQ78" s="152"/>
      <c r="FR78" s="152"/>
      <c r="FS78" s="152"/>
      <c r="FT78" s="152"/>
      <c r="FU78" s="152"/>
      <c r="FV78" s="152"/>
      <c r="FW78" s="152"/>
      <c r="FX78" s="152"/>
    </row>
    <row r="79" spans="1:180" s="150" customFormat="1" ht="35.25" thickTop="1" thickBot="1" x14ac:dyDescent="0.3">
      <c r="A79" s="621" t="s">
        <v>2478</v>
      </c>
      <c r="B79" s="625" t="s">
        <v>2545</v>
      </c>
      <c r="C79" s="659"/>
      <c r="D79" s="418">
        <v>3</v>
      </c>
      <c r="E79" s="418">
        <v>30</v>
      </c>
      <c r="F79" s="418">
        <v>3</v>
      </c>
      <c r="G79" s="418">
        <v>540</v>
      </c>
      <c r="H79" s="415">
        <v>29581000</v>
      </c>
      <c r="I79" s="415">
        <v>29581000</v>
      </c>
      <c r="J79" s="416" t="s">
        <v>1018</v>
      </c>
      <c r="K79" s="459" t="s">
        <v>383</v>
      </c>
      <c r="L79" s="417">
        <v>25</v>
      </c>
      <c r="M79" s="417">
        <v>25</v>
      </c>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2"/>
      <c r="CA79" s="152"/>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2"/>
      <c r="DB79" s="152"/>
      <c r="DC79" s="152"/>
      <c r="DD79" s="152"/>
      <c r="DE79" s="152"/>
      <c r="DF79" s="152"/>
      <c r="DG79" s="152"/>
      <c r="DH79" s="152"/>
      <c r="DI79" s="152"/>
      <c r="DJ79" s="152"/>
      <c r="DK79" s="152"/>
      <c r="DL79" s="152"/>
      <c r="DM79" s="152"/>
      <c r="DN79" s="152"/>
      <c r="DO79" s="152"/>
      <c r="DP79" s="152"/>
      <c r="DQ79" s="152"/>
      <c r="DR79" s="152"/>
      <c r="DS79" s="152"/>
      <c r="DT79" s="152"/>
      <c r="DU79" s="152"/>
      <c r="DV79" s="152"/>
      <c r="DW79" s="152"/>
      <c r="DX79" s="152"/>
      <c r="DY79" s="152"/>
      <c r="DZ79" s="152"/>
      <c r="EA79" s="152"/>
      <c r="EB79" s="152"/>
      <c r="EC79" s="152"/>
      <c r="ED79" s="152"/>
      <c r="EE79" s="152"/>
      <c r="EF79" s="152"/>
      <c r="EG79" s="152"/>
      <c r="EH79" s="152"/>
      <c r="EI79" s="152"/>
      <c r="EJ79" s="152"/>
      <c r="EK79" s="152"/>
      <c r="EL79" s="152"/>
      <c r="EM79" s="152"/>
      <c r="EN79" s="152"/>
      <c r="EO79" s="152"/>
      <c r="EP79" s="152"/>
      <c r="EQ79" s="152"/>
      <c r="ER79" s="152"/>
      <c r="ES79" s="152"/>
      <c r="ET79" s="152"/>
      <c r="EU79" s="152"/>
      <c r="EV79" s="152"/>
      <c r="EW79" s="152"/>
      <c r="EX79" s="152"/>
      <c r="EY79" s="152"/>
      <c r="EZ79" s="152"/>
      <c r="FA79" s="152"/>
      <c r="FB79" s="152"/>
      <c r="FC79" s="152"/>
      <c r="FD79" s="152"/>
      <c r="FE79" s="152"/>
      <c r="FF79" s="152"/>
      <c r="FG79" s="152"/>
      <c r="FH79" s="152"/>
      <c r="FI79" s="152"/>
      <c r="FJ79" s="152"/>
      <c r="FK79" s="152"/>
      <c r="FL79" s="152"/>
      <c r="FM79" s="152"/>
      <c r="FN79" s="152"/>
      <c r="FO79" s="152"/>
      <c r="FP79" s="152"/>
      <c r="FQ79" s="152"/>
      <c r="FR79" s="152"/>
      <c r="FS79" s="152"/>
      <c r="FT79" s="152"/>
      <c r="FU79" s="152"/>
      <c r="FV79" s="152"/>
      <c r="FW79" s="152"/>
      <c r="FX79" s="152"/>
    </row>
    <row r="80" spans="1:180" s="150" customFormat="1" ht="60" customHeight="1" thickTop="1" thickBot="1" x14ac:dyDescent="0.3">
      <c r="A80" s="621" t="s">
        <v>2478</v>
      </c>
      <c r="B80" s="625" t="s">
        <v>2545</v>
      </c>
      <c r="C80" s="659"/>
      <c r="D80" s="418">
        <v>3</v>
      </c>
      <c r="E80" s="418">
        <v>30</v>
      </c>
      <c r="F80" s="418">
        <v>3</v>
      </c>
      <c r="G80" s="418">
        <v>540</v>
      </c>
      <c r="H80" s="415">
        <v>87500000</v>
      </c>
      <c r="I80" s="415">
        <v>0</v>
      </c>
      <c r="J80" s="416" t="s">
        <v>1019</v>
      </c>
      <c r="K80" s="418" t="s">
        <v>17</v>
      </c>
      <c r="L80" s="417">
        <v>319</v>
      </c>
      <c r="M80" s="417">
        <v>0</v>
      </c>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52"/>
      <c r="CG80" s="152"/>
      <c r="CH80" s="152"/>
      <c r="CI80" s="152"/>
      <c r="CJ80" s="152"/>
      <c r="CK80" s="152"/>
      <c r="CL80" s="152"/>
      <c r="CM80" s="152"/>
      <c r="CN80" s="152"/>
      <c r="CO80" s="152"/>
      <c r="CP80" s="152"/>
      <c r="CQ80" s="152"/>
      <c r="CR80" s="152"/>
      <c r="CS80" s="152"/>
      <c r="CT80" s="152"/>
      <c r="CU80" s="152"/>
      <c r="CV80" s="152"/>
      <c r="CW80" s="152"/>
      <c r="CX80" s="152"/>
      <c r="CY80" s="152"/>
      <c r="CZ80" s="152"/>
      <c r="DA80" s="152"/>
      <c r="DB80" s="152"/>
      <c r="DC80" s="152"/>
      <c r="DD80" s="152"/>
      <c r="DE80" s="152"/>
      <c r="DF80" s="152"/>
      <c r="DG80" s="152"/>
      <c r="DH80" s="152"/>
      <c r="DI80" s="152"/>
      <c r="DJ80" s="152"/>
      <c r="DK80" s="152"/>
      <c r="DL80" s="152"/>
      <c r="DM80" s="152"/>
      <c r="DN80" s="152"/>
      <c r="DO80" s="152"/>
      <c r="DP80" s="152"/>
      <c r="DQ80" s="152"/>
      <c r="DR80" s="152"/>
      <c r="DS80" s="152"/>
      <c r="DT80" s="152"/>
      <c r="DU80" s="152"/>
      <c r="DV80" s="152"/>
      <c r="DW80" s="152"/>
      <c r="DX80" s="152"/>
      <c r="DY80" s="152"/>
      <c r="DZ80" s="152"/>
      <c r="EA80" s="152"/>
      <c r="EB80" s="152"/>
      <c r="EC80" s="152"/>
      <c r="ED80" s="152"/>
      <c r="EE80" s="152"/>
      <c r="EF80" s="152"/>
      <c r="EG80" s="152"/>
      <c r="EH80" s="152"/>
      <c r="EI80" s="152"/>
      <c r="EJ80" s="152"/>
      <c r="EK80" s="152"/>
      <c r="EL80" s="152"/>
      <c r="EM80" s="152"/>
      <c r="EN80" s="152"/>
      <c r="EO80" s="152"/>
      <c r="EP80" s="152"/>
      <c r="EQ80" s="152"/>
      <c r="ER80" s="152"/>
      <c r="ES80" s="152"/>
      <c r="ET80" s="152"/>
      <c r="EU80" s="152"/>
      <c r="EV80" s="152"/>
      <c r="EW80" s="152"/>
      <c r="EX80" s="152"/>
      <c r="EY80" s="152"/>
      <c r="EZ80" s="152"/>
      <c r="FA80" s="152"/>
      <c r="FB80" s="152"/>
      <c r="FC80" s="152"/>
      <c r="FD80" s="152"/>
      <c r="FE80" s="152"/>
      <c r="FF80" s="152"/>
      <c r="FG80" s="152"/>
      <c r="FH80" s="152"/>
      <c r="FI80" s="152"/>
      <c r="FJ80" s="152"/>
      <c r="FK80" s="152"/>
      <c r="FL80" s="152"/>
      <c r="FM80" s="152"/>
      <c r="FN80" s="152"/>
      <c r="FO80" s="152"/>
      <c r="FP80" s="152"/>
      <c r="FQ80" s="152"/>
      <c r="FR80" s="152"/>
      <c r="FS80" s="152"/>
      <c r="FT80" s="152"/>
      <c r="FU80" s="152"/>
      <c r="FV80" s="152"/>
      <c r="FW80" s="152"/>
      <c r="FX80" s="152"/>
    </row>
    <row r="81" spans="1:180" s="150" customFormat="1" ht="40.5" customHeight="1" thickTop="1" thickBot="1" x14ac:dyDescent="0.3">
      <c r="A81" s="621" t="s">
        <v>2478</v>
      </c>
      <c r="B81" s="625" t="s">
        <v>2545</v>
      </c>
      <c r="C81" s="418" t="s">
        <v>90</v>
      </c>
      <c r="D81" s="418">
        <v>3</v>
      </c>
      <c r="E81" s="418">
        <v>30</v>
      </c>
      <c r="F81" s="418">
        <v>3</v>
      </c>
      <c r="G81" s="418">
        <v>590</v>
      </c>
      <c r="H81" s="415">
        <v>3835251</v>
      </c>
      <c r="I81" s="415">
        <v>3835251</v>
      </c>
      <c r="J81" s="416" t="s">
        <v>1020</v>
      </c>
      <c r="K81" s="418" t="s">
        <v>25</v>
      </c>
      <c r="L81" s="417">
        <v>1</v>
      </c>
      <c r="M81" s="417">
        <v>1</v>
      </c>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c r="CG81" s="152"/>
      <c r="CH81" s="152"/>
      <c r="CI81" s="152"/>
      <c r="CJ81" s="152"/>
      <c r="CK81" s="152"/>
      <c r="CL81" s="152"/>
      <c r="CM81" s="152"/>
      <c r="CN81" s="152"/>
      <c r="CO81" s="152"/>
      <c r="CP81" s="152"/>
      <c r="CQ81" s="152"/>
      <c r="CR81" s="152"/>
      <c r="CS81" s="152"/>
      <c r="CT81" s="152"/>
      <c r="CU81" s="152"/>
      <c r="CV81" s="152"/>
      <c r="CW81" s="152"/>
      <c r="CX81" s="152"/>
      <c r="CY81" s="152"/>
      <c r="CZ81" s="152"/>
      <c r="DA81" s="152"/>
      <c r="DB81" s="152"/>
      <c r="DC81" s="152"/>
      <c r="DD81" s="152"/>
      <c r="DE81" s="152"/>
      <c r="DF81" s="152"/>
      <c r="DG81" s="152"/>
      <c r="DH81" s="152"/>
      <c r="DI81" s="152"/>
      <c r="DJ81" s="152"/>
      <c r="DK81" s="152"/>
      <c r="DL81" s="152"/>
      <c r="DM81" s="152"/>
      <c r="DN81" s="152"/>
      <c r="DO81" s="152"/>
      <c r="DP81" s="152"/>
      <c r="DQ81" s="152"/>
      <c r="DR81" s="152"/>
      <c r="DS81" s="152"/>
      <c r="DT81" s="152"/>
      <c r="DU81" s="152"/>
      <c r="DV81" s="152"/>
      <c r="DW81" s="152"/>
      <c r="DX81" s="152"/>
      <c r="DY81" s="152"/>
      <c r="DZ81" s="152"/>
      <c r="EA81" s="152"/>
      <c r="EB81" s="152"/>
      <c r="EC81" s="152"/>
      <c r="ED81" s="152"/>
      <c r="EE81" s="152"/>
      <c r="EF81" s="152"/>
      <c r="EG81" s="152"/>
      <c r="EH81" s="152"/>
      <c r="EI81" s="152"/>
      <c r="EJ81" s="152"/>
      <c r="EK81" s="152"/>
      <c r="EL81" s="152"/>
      <c r="EM81" s="152"/>
      <c r="EN81" s="152"/>
      <c r="EO81" s="152"/>
      <c r="EP81" s="152"/>
      <c r="EQ81" s="152"/>
      <c r="ER81" s="152"/>
      <c r="ES81" s="152"/>
      <c r="ET81" s="152"/>
      <c r="EU81" s="152"/>
      <c r="EV81" s="152"/>
      <c r="EW81" s="152"/>
      <c r="EX81" s="152"/>
      <c r="EY81" s="152"/>
      <c r="EZ81" s="152"/>
      <c r="FA81" s="152"/>
      <c r="FB81" s="152"/>
      <c r="FC81" s="152"/>
      <c r="FD81" s="152"/>
      <c r="FE81" s="152"/>
      <c r="FF81" s="152"/>
      <c r="FG81" s="152"/>
      <c r="FH81" s="152"/>
      <c r="FI81" s="152"/>
      <c r="FJ81" s="152"/>
      <c r="FK81" s="152"/>
      <c r="FL81" s="152"/>
      <c r="FM81" s="152"/>
      <c r="FN81" s="152"/>
      <c r="FO81" s="152"/>
      <c r="FP81" s="152"/>
      <c r="FQ81" s="152"/>
      <c r="FR81" s="152"/>
      <c r="FS81" s="152"/>
      <c r="FT81" s="152"/>
      <c r="FU81" s="152"/>
      <c r="FV81" s="152"/>
      <c r="FW81" s="152"/>
      <c r="FX81" s="152"/>
    </row>
    <row r="82" spans="1:180" s="153" customFormat="1" ht="14.25" customHeight="1" thickTop="1" thickBot="1" x14ac:dyDescent="0.3">
      <c r="A82" s="161"/>
      <c r="B82" s="475"/>
      <c r="C82" s="165"/>
      <c r="D82" s="165"/>
      <c r="E82" s="165"/>
      <c r="F82" s="165"/>
      <c r="G82" s="165"/>
      <c r="H82" s="164"/>
      <c r="I82" s="164"/>
      <c r="J82" s="165"/>
      <c r="K82" s="165"/>
      <c r="L82" s="164"/>
      <c r="M82" s="164"/>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c r="CJ82" s="152"/>
      <c r="CK82" s="152"/>
      <c r="CL82" s="152"/>
      <c r="CM82" s="152"/>
      <c r="CN82" s="152"/>
      <c r="CO82" s="152"/>
      <c r="CP82" s="152"/>
      <c r="CQ82" s="152"/>
      <c r="CR82" s="152"/>
      <c r="CS82" s="152"/>
      <c r="CT82" s="152"/>
      <c r="CU82" s="152"/>
      <c r="CV82" s="152"/>
      <c r="CW82" s="152"/>
      <c r="CX82" s="152"/>
      <c r="CY82" s="152"/>
      <c r="CZ82" s="152"/>
      <c r="DA82" s="152"/>
      <c r="DB82" s="152"/>
      <c r="DC82" s="152"/>
      <c r="DD82" s="152"/>
      <c r="DE82" s="152"/>
      <c r="DF82" s="152"/>
      <c r="DG82" s="152"/>
      <c r="DH82" s="152"/>
      <c r="DI82" s="152"/>
      <c r="DJ82" s="152"/>
      <c r="DK82" s="152"/>
      <c r="DL82" s="152"/>
      <c r="DM82" s="152"/>
      <c r="DN82" s="152"/>
      <c r="DO82" s="152"/>
      <c r="DP82" s="152"/>
      <c r="DQ82" s="152"/>
      <c r="DR82" s="152"/>
      <c r="DS82" s="152"/>
      <c r="DT82" s="152"/>
      <c r="DU82" s="152"/>
      <c r="DV82" s="152"/>
      <c r="DW82" s="152"/>
      <c r="DX82" s="152"/>
      <c r="DY82" s="152"/>
      <c r="DZ82" s="152"/>
      <c r="EA82" s="152"/>
      <c r="EB82" s="152"/>
      <c r="EC82" s="152"/>
      <c r="ED82" s="152"/>
      <c r="EE82" s="152"/>
      <c r="EF82" s="152"/>
      <c r="EG82" s="152"/>
      <c r="EH82" s="152"/>
      <c r="EI82" s="152"/>
      <c r="EJ82" s="152"/>
      <c r="EK82" s="152"/>
      <c r="EL82" s="152"/>
      <c r="EM82" s="152"/>
      <c r="EN82" s="152"/>
      <c r="EO82" s="152"/>
      <c r="EP82" s="152"/>
      <c r="EQ82" s="152"/>
      <c r="ER82" s="152"/>
      <c r="ES82" s="152"/>
      <c r="ET82" s="152"/>
      <c r="EU82" s="152"/>
      <c r="EV82" s="152"/>
      <c r="EW82" s="152"/>
      <c r="EX82" s="152"/>
      <c r="EY82" s="152"/>
      <c r="EZ82" s="152"/>
      <c r="FA82" s="152"/>
      <c r="FB82" s="152"/>
      <c r="FC82" s="152"/>
      <c r="FD82" s="152"/>
      <c r="FE82" s="152"/>
      <c r="FF82" s="152"/>
      <c r="FG82" s="152"/>
      <c r="FH82" s="152"/>
      <c r="FI82" s="152"/>
      <c r="FJ82" s="152"/>
      <c r="FK82" s="152"/>
      <c r="FL82" s="152"/>
      <c r="FM82" s="152"/>
      <c r="FN82" s="152"/>
      <c r="FO82" s="152"/>
      <c r="FP82" s="152"/>
      <c r="FQ82" s="152"/>
      <c r="FR82" s="152"/>
      <c r="FS82" s="152"/>
      <c r="FT82" s="152"/>
      <c r="FU82" s="152"/>
      <c r="FV82" s="152"/>
      <c r="FW82" s="152"/>
      <c r="FX82" s="152"/>
    </row>
    <row r="83" spans="1:180" s="168" customFormat="1" ht="30" customHeight="1" thickTop="1" thickBot="1" x14ac:dyDescent="0.3">
      <c r="A83" s="639" t="s">
        <v>0</v>
      </c>
      <c r="B83" s="639" t="s">
        <v>1</v>
      </c>
      <c r="C83" s="639" t="s">
        <v>2569</v>
      </c>
      <c r="D83" s="636" t="s">
        <v>1961</v>
      </c>
      <c r="E83" s="637"/>
      <c r="F83" s="637"/>
      <c r="G83" s="638"/>
      <c r="H83" s="636" t="s">
        <v>3</v>
      </c>
      <c r="I83" s="637"/>
      <c r="J83" s="636" t="s">
        <v>1962</v>
      </c>
      <c r="K83" s="637"/>
      <c r="L83" s="637"/>
      <c r="M83" s="638"/>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row>
    <row r="84" spans="1:180" s="152" customFormat="1" ht="34.5" customHeight="1" thickTop="1" thickBot="1" x14ac:dyDescent="0.3">
      <c r="A84" s="661"/>
      <c r="B84" s="661"/>
      <c r="C84" s="661"/>
      <c r="D84" s="406" t="s">
        <v>4</v>
      </c>
      <c r="E84" s="406" t="s">
        <v>5</v>
      </c>
      <c r="F84" s="406" t="s">
        <v>6</v>
      </c>
      <c r="G84" s="406" t="s">
        <v>7</v>
      </c>
      <c r="H84" s="406" t="s">
        <v>2</v>
      </c>
      <c r="I84" s="406" t="s">
        <v>3</v>
      </c>
      <c r="J84" s="406" t="s">
        <v>8</v>
      </c>
      <c r="K84" s="406" t="s">
        <v>9</v>
      </c>
      <c r="L84" s="406" t="s">
        <v>1963</v>
      </c>
      <c r="M84" s="406" t="s">
        <v>1964</v>
      </c>
    </row>
    <row r="85" spans="1:180" s="150" customFormat="1" ht="38.25" customHeight="1" thickTop="1" thickBot="1" x14ac:dyDescent="0.3">
      <c r="A85" s="307" t="s">
        <v>1154</v>
      </c>
      <c r="B85" s="413" t="s">
        <v>2545</v>
      </c>
      <c r="C85" s="654" t="s">
        <v>18</v>
      </c>
      <c r="D85" s="657">
        <v>3</v>
      </c>
      <c r="E85" s="657">
        <v>30</v>
      </c>
      <c r="F85" s="657">
        <v>3</v>
      </c>
      <c r="G85" s="657">
        <v>848</v>
      </c>
      <c r="H85" s="656">
        <v>1201752727</v>
      </c>
      <c r="I85" s="656">
        <v>828585100</v>
      </c>
      <c r="J85" s="416" t="s">
        <v>1021</v>
      </c>
      <c r="K85" s="417" t="s">
        <v>20</v>
      </c>
      <c r="L85" s="417">
        <v>1378</v>
      </c>
      <c r="M85" s="417">
        <v>1378</v>
      </c>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row>
    <row r="86" spans="1:180" s="150" customFormat="1" ht="35.25" thickTop="1" thickBot="1" x14ac:dyDescent="0.3">
      <c r="A86" s="307" t="s">
        <v>1154</v>
      </c>
      <c r="B86" s="625" t="s">
        <v>2545</v>
      </c>
      <c r="C86" s="654"/>
      <c r="D86" s="657"/>
      <c r="E86" s="657"/>
      <c r="F86" s="657"/>
      <c r="G86" s="657"/>
      <c r="H86" s="656"/>
      <c r="I86" s="656"/>
      <c r="J86" s="416" t="s">
        <v>1022</v>
      </c>
      <c r="K86" s="417" t="s">
        <v>75</v>
      </c>
      <c r="L86" s="417">
        <v>58300</v>
      </c>
      <c r="M86" s="417">
        <v>58300</v>
      </c>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52"/>
      <c r="CG86" s="152"/>
      <c r="CH86" s="152"/>
      <c r="CI86" s="152"/>
      <c r="CJ86" s="152"/>
      <c r="CK86" s="152"/>
      <c r="CL86" s="152"/>
      <c r="CM86" s="152"/>
      <c r="CN86" s="152"/>
      <c r="CO86" s="152"/>
      <c r="CP86" s="152"/>
      <c r="CQ86" s="152"/>
      <c r="CR86" s="152"/>
      <c r="CS86" s="152"/>
      <c r="CT86" s="152"/>
      <c r="CU86" s="152"/>
      <c r="CV86" s="152"/>
      <c r="CW86" s="152"/>
      <c r="CX86" s="152"/>
      <c r="CY86" s="152"/>
      <c r="CZ86" s="152"/>
      <c r="DA86" s="152"/>
      <c r="DB86" s="152"/>
      <c r="DC86" s="152"/>
      <c r="DD86" s="152"/>
      <c r="DE86" s="152"/>
      <c r="DF86" s="152"/>
      <c r="DG86" s="152"/>
      <c r="DH86" s="152"/>
      <c r="DI86" s="152"/>
      <c r="DJ86" s="152"/>
      <c r="DK86" s="152"/>
      <c r="DL86" s="152"/>
      <c r="DM86" s="152"/>
      <c r="DN86" s="152"/>
      <c r="DO86" s="152"/>
      <c r="DP86" s="152"/>
      <c r="DQ86" s="152"/>
      <c r="DR86" s="152"/>
      <c r="DS86" s="152"/>
      <c r="DT86" s="152"/>
      <c r="DU86" s="152"/>
      <c r="DV86" s="152"/>
      <c r="DW86" s="152"/>
      <c r="DX86" s="152"/>
      <c r="DY86" s="152"/>
      <c r="DZ86" s="152"/>
      <c r="EA86" s="152"/>
      <c r="EB86" s="152"/>
      <c r="EC86" s="152"/>
      <c r="ED86" s="152"/>
      <c r="EE86" s="152"/>
      <c r="EF86" s="152"/>
      <c r="EG86" s="152"/>
      <c r="EH86" s="152"/>
      <c r="EI86" s="152"/>
      <c r="EJ86" s="152"/>
      <c r="EK86" s="152"/>
      <c r="EL86" s="152"/>
      <c r="EM86" s="152"/>
      <c r="EN86" s="152"/>
      <c r="EO86" s="152"/>
      <c r="EP86" s="152"/>
      <c r="EQ86" s="152"/>
      <c r="ER86" s="152"/>
      <c r="ES86" s="152"/>
      <c r="ET86" s="152"/>
      <c r="EU86" s="152"/>
      <c r="EV86" s="152"/>
      <c r="EW86" s="152"/>
      <c r="EX86" s="152"/>
      <c r="EY86" s="152"/>
      <c r="EZ86" s="152"/>
      <c r="FA86" s="152"/>
      <c r="FB86" s="152"/>
      <c r="FC86" s="152"/>
      <c r="FD86" s="152"/>
      <c r="FE86" s="152"/>
      <c r="FF86" s="152"/>
      <c r="FG86" s="152"/>
      <c r="FH86" s="152"/>
      <c r="FI86" s="152"/>
      <c r="FJ86" s="152"/>
      <c r="FK86" s="152"/>
      <c r="FL86" s="152"/>
      <c r="FM86" s="152"/>
      <c r="FN86" s="152"/>
      <c r="FO86" s="152"/>
      <c r="FP86" s="152"/>
      <c r="FQ86" s="152"/>
      <c r="FR86" s="152"/>
      <c r="FS86" s="152"/>
      <c r="FT86" s="152"/>
      <c r="FU86" s="152"/>
      <c r="FV86" s="152"/>
      <c r="FW86" s="152"/>
      <c r="FX86" s="152"/>
    </row>
    <row r="87" spans="1:180" s="150" customFormat="1" ht="27" customHeight="1" thickTop="1" thickBot="1" x14ac:dyDescent="0.3">
      <c r="A87" s="307" t="s">
        <v>1154</v>
      </c>
      <c r="B87" s="625" t="s">
        <v>2545</v>
      </c>
      <c r="C87" s="651" t="s">
        <v>53</v>
      </c>
      <c r="D87" s="417">
        <v>3</v>
      </c>
      <c r="E87" s="417">
        <v>30</v>
      </c>
      <c r="F87" s="417">
        <v>3</v>
      </c>
      <c r="G87" s="417">
        <v>520</v>
      </c>
      <c r="H87" s="415">
        <v>1800000000</v>
      </c>
      <c r="I87" s="415">
        <f>1139210010+235132756</f>
        <v>1374342766</v>
      </c>
      <c r="J87" s="416" t="s">
        <v>1023</v>
      </c>
      <c r="K87" s="417" t="s">
        <v>55</v>
      </c>
      <c r="L87" s="417">
        <v>12</v>
      </c>
      <c r="M87" s="417">
        <v>12</v>
      </c>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52"/>
      <c r="CG87" s="152"/>
      <c r="CH87" s="152"/>
      <c r="CI87" s="152"/>
      <c r="CJ87" s="152"/>
      <c r="CK87" s="152"/>
      <c r="CL87" s="152"/>
      <c r="CM87" s="152"/>
      <c r="CN87" s="152"/>
      <c r="CO87" s="152"/>
      <c r="CP87" s="152"/>
      <c r="CQ87" s="152"/>
      <c r="CR87" s="152"/>
      <c r="CS87" s="152"/>
      <c r="CT87" s="152"/>
      <c r="CU87" s="152"/>
      <c r="CV87" s="152"/>
      <c r="CW87" s="152"/>
      <c r="CX87" s="152"/>
      <c r="CY87" s="152"/>
      <c r="CZ87" s="152"/>
      <c r="DA87" s="152"/>
      <c r="DB87" s="152"/>
      <c r="DC87" s="152"/>
      <c r="DD87" s="152"/>
      <c r="DE87" s="152"/>
      <c r="DF87" s="152"/>
      <c r="DG87" s="152"/>
      <c r="DH87" s="152"/>
      <c r="DI87" s="152"/>
      <c r="DJ87" s="152"/>
      <c r="DK87" s="152"/>
      <c r="DL87" s="152"/>
      <c r="DM87" s="152"/>
      <c r="DN87" s="152"/>
      <c r="DO87" s="152"/>
      <c r="DP87" s="152"/>
      <c r="DQ87" s="152"/>
      <c r="DR87" s="152"/>
      <c r="DS87" s="152"/>
      <c r="DT87" s="152"/>
      <c r="DU87" s="152"/>
      <c r="DV87" s="152"/>
      <c r="DW87" s="152"/>
      <c r="DX87" s="152"/>
      <c r="DY87" s="152"/>
      <c r="DZ87" s="152"/>
      <c r="EA87" s="152"/>
      <c r="EB87" s="152"/>
      <c r="EC87" s="152"/>
      <c r="ED87" s="152"/>
      <c r="EE87" s="152"/>
      <c r="EF87" s="152"/>
      <c r="EG87" s="152"/>
      <c r="EH87" s="152"/>
      <c r="EI87" s="152"/>
      <c r="EJ87" s="152"/>
      <c r="EK87" s="152"/>
      <c r="EL87" s="152"/>
      <c r="EM87" s="152"/>
      <c r="EN87" s="152"/>
      <c r="EO87" s="152"/>
      <c r="EP87" s="152"/>
      <c r="EQ87" s="152"/>
      <c r="ER87" s="152"/>
      <c r="ES87" s="152"/>
      <c r="ET87" s="152"/>
      <c r="EU87" s="152"/>
      <c r="EV87" s="152"/>
      <c r="EW87" s="152"/>
      <c r="EX87" s="152"/>
      <c r="EY87" s="152"/>
      <c r="EZ87" s="152"/>
      <c r="FA87" s="152"/>
      <c r="FB87" s="152"/>
      <c r="FC87" s="152"/>
      <c r="FD87" s="152"/>
      <c r="FE87" s="152"/>
      <c r="FF87" s="152"/>
      <c r="FG87" s="152"/>
      <c r="FH87" s="152"/>
      <c r="FI87" s="152"/>
      <c r="FJ87" s="152"/>
      <c r="FK87" s="152"/>
      <c r="FL87" s="152"/>
      <c r="FM87" s="152"/>
      <c r="FN87" s="152"/>
      <c r="FO87" s="152"/>
      <c r="FP87" s="152"/>
      <c r="FQ87" s="152"/>
      <c r="FR87" s="152"/>
      <c r="FS87" s="152"/>
      <c r="FT87" s="152"/>
      <c r="FU87" s="152"/>
      <c r="FV87" s="152"/>
      <c r="FW87" s="152"/>
      <c r="FX87" s="152"/>
    </row>
    <row r="88" spans="1:180" s="150" customFormat="1" ht="36.75" customHeight="1" thickTop="1" thickBot="1" x14ac:dyDescent="0.3">
      <c r="A88" s="307" t="s">
        <v>1154</v>
      </c>
      <c r="B88" s="625" t="s">
        <v>2545</v>
      </c>
      <c r="C88" s="652"/>
      <c r="D88" s="417">
        <v>3</v>
      </c>
      <c r="E88" s="417">
        <v>30</v>
      </c>
      <c r="F88" s="417">
        <v>3</v>
      </c>
      <c r="G88" s="417">
        <v>520</v>
      </c>
      <c r="H88" s="415">
        <v>800000000</v>
      </c>
      <c r="I88" s="415">
        <v>283018712</v>
      </c>
      <c r="J88" s="416" t="s">
        <v>1024</v>
      </c>
      <c r="K88" s="417" t="s">
        <v>25</v>
      </c>
      <c r="L88" s="417">
        <v>9</v>
      </c>
      <c r="M88" s="417">
        <v>9</v>
      </c>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c r="CJ88" s="152"/>
      <c r="CK88" s="152"/>
      <c r="CL88" s="152"/>
      <c r="CM88" s="152"/>
      <c r="CN88" s="152"/>
      <c r="CO88" s="152"/>
      <c r="CP88" s="152"/>
      <c r="CQ88" s="152"/>
      <c r="CR88" s="152"/>
      <c r="CS88" s="152"/>
      <c r="CT88" s="152"/>
      <c r="CU88" s="152"/>
      <c r="CV88" s="152"/>
      <c r="CW88" s="152"/>
      <c r="CX88" s="152"/>
      <c r="CY88" s="152"/>
      <c r="CZ88" s="152"/>
      <c r="DA88" s="152"/>
      <c r="DB88" s="152"/>
      <c r="DC88" s="152"/>
      <c r="DD88" s="152"/>
      <c r="DE88" s="152"/>
      <c r="DF88" s="152"/>
      <c r="DG88" s="152"/>
      <c r="DH88" s="152"/>
      <c r="DI88" s="152"/>
      <c r="DJ88" s="152"/>
      <c r="DK88" s="152"/>
      <c r="DL88" s="152"/>
      <c r="DM88" s="152"/>
      <c r="DN88" s="152"/>
      <c r="DO88" s="152"/>
      <c r="DP88" s="152"/>
      <c r="DQ88" s="152"/>
      <c r="DR88" s="152"/>
      <c r="DS88" s="152"/>
      <c r="DT88" s="152"/>
      <c r="DU88" s="152"/>
      <c r="DV88" s="152"/>
      <c r="DW88" s="152"/>
      <c r="DX88" s="152"/>
      <c r="DY88" s="152"/>
      <c r="DZ88" s="152"/>
      <c r="EA88" s="152"/>
      <c r="EB88" s="152"/>
      <c r="EC88" s="152"/>
      <c r="ED88" s="152"/>
      <c r="EE88" s="152"/>
      <c r="EF88" s="152"/>
      <c r="EG88" s="152"/>
      <c r="EH88" s="152"/>
      <c r="EI88" s="152"/>
      <c r="EJ88" s="152"/>
      <c r="EK88" s="152"/>
      <c r="EL88" s="152"/>
      <c r="EM88" s="152"/>
      <c r="EN88" s="152"/>
      <c r="EO88" s="152"/>
      <c r="EP88" s="152"/>
      <c r="EQ88" s="152"/>
      <c r="ER88" s="152"/>
      <c r="ES88" s="152"/>
      <c r="ET88" s="152"/>
      <c r="EU88" s="152"/>
      <c r="EV88" s="152"/>
      <c r="EW88" s="152"/>
      <c r="EX88" s="152"/>
      <c r="EY88" s="152"/>
      <c r="EZ88" s="152"/>
      <c r="FA88" s="152"/>
      <c r="FB88" s="152"/>
      <c r="FC88" s="152"/>
      <c r="FD88" s="152"/>
      <c r="FE88" s="152"/>
      <c r="FF88" s="152"/>
      <c r="FG88" s="152"/>
      <c r="FH88" s="152"/>
      <c r="FI88" s="152"/>
      <c r="FJ88" s="152"/>
      <c r="FK88" s="152"/>
      <c r="FL88" s="152"/>
      <c r="FM88" s="152"/>
      <c r="FN88" s="152"/>
      <c r="FO88" s="152"/>
      <c r="FP88" s="152"/>
      <c r="FQ88" s="152"/>
      <c r="FR88" s="152"/>
      <c r="FS88" s="152"/>
      <c r="FT88" s="152"/>
      <c r="FU88" s="152"/>
      <c r="FV88" s="152"/>
      <c r="FW88" s="152"/>
      <c r="FX88" s="152"/>
    </row>
    <row r="89" spans="1:180" s="150" customFormat="1" ht="36.75" customHeight="1" thickTop="1" thickBot="1" x14ac:dyDescent="0.3">
      <c r="A89" s="307" t="s">
        <v>1154</v>
      </c>
      <c r="B89" s="625" t="s">
        <v>2545</v>
      </c>
      <c r="C89" s="652"/>
      <c r="D89" s="417">
        <v>3</v>
      </c>
      <c r="E89" s="417">
        <v>30</v>
      </c>
      <c r="F89" s="417">
        <v>3</v>
      </c>
      <c r="G89" s="417">
        <v>520</v>
      </c>
      <c r="H89" s="415">
        <v>750000000</v>
      </c>
      <c r="I89" s="415">
        <v>262966251</v>
      </c>
      <c r="J89" s="416" t="s">
        <v>1025</v>
      </c>
      <c r="K89" s="417" t="s">
        <v>28</v>
      </c>
      <c r="L89" s="417">
        <v>6</v>
      </c>
      <c r="M89" s="417">
        <v>3</v>
      </c>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c r="FJ89" s="152"/>
      <c r="FK89" s="152"/>
      <c r="FL89" s="152"/>
      <c r="FM89" s="152"/>
      <c r="FN89" s="152"/>
      <c r="FO89" s="152"/>
      <c r="FP89" s="152"/>
      <c r="FQ89" s="152"/>
      <c r="FR89" s="152"/>
      <c r="FS89" s="152"/>
      <c r="FT89" s="152"/>
      <c r="FU89" s="152"/>
      <c r="FV89" s="152"/>
      <c r="FW89" s="152"/>
      <c r="FX89" s="152"/>
    </row>
    <row r="90" spans="1:180" s="150" customFormat="1" ht="36.75" customHeight="1" thickTop="1" thickBot="1" x14ac:dyDescent="0.3">
      <c r="A90" s="307" t="s">
        <v>1154</v>
      </c>
      <c r="B90" s="625" t="s">
        <v>2545</v>
      </c>
      <c r="C90" s="652"/>
      <c r="D90" s="417">
        <v>3</v>
      </c>
      <c r="E90" s="417">
        <v>30</v>
      </c>
      <c r="F90" s="417">
        <v>3</v>
      </c>
      <c r="G90" s="417">
        <v>520</v>
      </c>
      <c r="H90" s="415">
        <v>400000000</v>
      </c>
      <c r="I90" s="415">
        <v>0</v>
      </c>
      <c r="J90" s="416" t="s">
        <v>1026</v>
      </c>
      <c r="K90" s="417" t="s">
        <v>55</v>
      </c>
      <c r="L90" s="417">
        <v>10</v>
      </c>
      <c r="M90" s="417">
        <v>0</v>
      </c>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52"/>
      <c r="CG90" s="152"/>
      <c r="CH90" s="152"/>
      <c r="CI90" s="152"/>
      <c r="CJ90" s="152"/>
      <c r="CK90" s="152"/>
      <c r="CL90" s="152"/>
      <c r="CM90" s="152"/>
      <c r="CN90" s="152"/>
      <c r="CO90" s="152"/>
      <c r="CP90" s="152"/>
      <c r="CQ90" s="152"/>
      <c r="CR90" s="152"/>
      <c r="CS90" s="152"/>
      <c r="CT90" s="152"/>
      <c r="CU90" s="152"/>
      <c r="CV90" s="152"/>
      <c r="CW90" s="152"/>
      <c r="CX90" s="152"/>
      <c r="CY90" s="152"/>
      <c r="CZ90" s="152"/>
      <c r="DA90" s="152"/>
      <c r="DB90" s="152"/>
      <c r="DC90" s="152"/>
      <c r="DD90" s="152"/>
      <c r="DE90" s="152"/>
      <c r="DF90" s="152"/>
      <c r="DG90" s="152"/>
      <c r="DH90" s="152"/>
      <c r="DI90" s="152"/>
      <c r="DJ90" s="152"/>
      <c r="DK90" s="152"/>
      <c r="DL90" s="152"/>
      <c r="DM90" s="152"/>
      <c r="DN90" s="152"/>
      <c r="DO90" s="152"/>
      <c r="DP90" s="152"/>
      <c r="DQ90" s="152"/>
      <c r="DR90" s="152"/>
      <c r="DS90" s="152"/>
      <c r="DT90" s="152"/>
      <c r="DU90" s="152"/>
      <c r="DV90" s="152"/>
      <c r="DW90" s="152"/>
      <c r="DX90" s="152"/>
      <c r="DY90" s="152"/>
      <c r="DZ90" s="152"/>
      <c r="EA90" s="152"/>
      <c r="EB90" s="152"/>
      <c r="EC90" s="152"/>
      <c r="ED90" s="152"/>
      <c r="EE90" s="152"/>
      <c r="EF90" s="152"/>
      <c r="EG90" s="152"/>
      <c r="EH90" s="152"/>
      <c r="EI90" s="152"/>
      <c r="EJ90" s="152"/>
      <c r="EK90" s="152"/>
      <c r="EL90" s="152"/>
      <c r="EM90" s="152"/>
      <c r="EN90" s="152"/>
      <c r="EO90" s="152"/>
      <c r="EP90" s="152"/>
      <c r="EQ90" s="152"/>
      <c r="ER90" s="152"/>
      <c r="ES90" s="152"/>
      <c r="ET90" s="152"/>
      <c r="EU90" s="152"/>
      <c r="EV90" s="152"/>
      <c r="EW90" s="152"/>
      <c r="EX90" s="152"/>
      <c r="EY90" s="152"/>
      <c r="EZ90" s="152"/>
      <c r="FA90" s="152"/>
      <c r="FB90" s="152"/>
      <c r="FC90" s="152"/>
      <c r="FD90" s="152"/>
      <c r="FE90" s="152"/>
      <c r="FF90" s="152"/>
      <c r="FG90" s="152"/>
      <c r="FH90" s="152"/>
      <c r="FI90" s="152"/>
      <c r="FJ90" s="152"/>
      <c r="FK90" s="152"/>
      <c r="FL90" s="152"/>
      <c r="FM90" s="152"/>
      <c r="FN90" s="152"/>
      <c r="FO90" s="152"/>
      <c r="FP90" s="152"/>
      <c r="FQ90" s="152"/>
      <c r="FR90" s="152"/>
      <c r="FS90" s="152"/>
      <c r="FT90" s="152"/>
      <c r="FU90" s="152"/>
      <c r="FV90" s="152"/>
      <c r="FW90" s="152"/>
      <c r="FX90" s="152"/>
    </row>
    <row r="91" spans="1:180" s="150" customFormat="1" ht="38.25" customHeight="1" thickTop="1" thickBot="1" x14ac:dyDescent="0.3">
      <c r="A91" s="307" t="s">
        <v>1154</v>
      </c>
      <c r="B91" s="625" t="s">
        <v>2545</v>
      </c>
      <c r="C91" s="653"/>
      <c r="D91" s="418">
        <v>2</v>
      </c>
      <c r="E91" s="418">
        <v>30</v>
      </c>
      <c r="F91" s="418">
        <v>3</v>
      </c>
      <c r="G91" s="418">
        <v>520</v>
      </c>
      <c r="H91" s="415">
        <f>1020313832-300000000-489677307</f>
        <v>230636525</v>
      </c>
      <c r="I91" s="415">
        <v>0</v>
      </c>
      <c r="J91" s="416" t="s">
        <v>1027</v>
      </c>
      <c r="K91" s="418" t="s">
        <v>13</v>
      </c>
      <c r="L91" s="417">
        <v>10</v>
      </c>
      <c r="M91" s="417">
        <v>0</v>
      </c>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2"/>
      <c r="CO91" s="152"/>
      <c r="CP91" s="152"/>
      <c r="CQ91" s="152"/>
      <c r="CR91" s="152"/>
      <c r="CS91" s="152"/>
      <c r="CT91" s="152"/>
      <c r="CU91" s="152"/>
      <c r="CV91" s="152"/>
      <c r="CW91" s="152"/>
      <c r="CX91" s="152"/>
      <c r="CY91" s="152"/>
      <c r="CZ91" s="152"/>
      <c r="DA91" s="152"/>
      <c r="DB91" s="152"/>
      <c r="DC91" s="152"/>
      <c r="DD91" s="152"/>
      <c r="DE91" s="152"/>
      <c r="DF91" s="152"/>
      <c r="DG91" s="152"/>
      <c r="DH91" s="152"/>
      <c r="DI91" s="152"/>
      <c r="DJ91" s="152"/>
      <c r="DK91" s="152"/>
      <c r="DL91" s="152"/>
      <c r="DM91" s="152"/>
      <c r="DN91" s="152"/>
      <c r="DO91" s="152"/>
      <c r="DP91" s="152"/>
      <c r="DQ91" s="152"/>
      <c r="DR91" s="152"/>
      <c r="DS91" s="152"/>
      <c r="DT91" s="152"/>
      <c r="DU91" s="152"/>
      <c r="DV91" s="152"/>
      <c r="DW91" s="152"/>
      <c r="DX91" s="152"/>
      <c r="DY91" s="152"/>
      <c r="DZ91" s="152"/>
      <c r="EA91" s="152"/>
      <c r="EB91" s="152"/>
      <c r="EC91" s="152"/>
      <c r="ED91" s="152"/>
      <c r="EE91" s="152"/>
      <c r="EF91" s="152"/>
      <c r="EG91" s="152"/>
      <c r="EH91" s="152"/>
      <c r="EI91" s="152"/>
      <c r="EJ91" s="152"/>
      <c r="EK91" s="152"/>
      <c r="EL91" s="152"/>
      <c r="EM91" s="152"/>
      <c r="EN91" s="152"/>
      <c r="EO91" s="152"/>
      <c r="EP91" s="152"/>
      <c r="EQ91" s="152"/>
      <c r="ER91" s="152"/>
      <c r="ES91" s="152"/>
      <c r="ET91" s="152"/>
      <c r="EU91" s="152"/>
      <c r="EV91" s="152"/>
      <c r="EW91" s="152"/>
      <c r="EX91" s="152"/>
      <c r="EY91" s="152"/>
      <c r="EZ91" s="152"/>
      <c r="FA91" s="152"/>
      <c r="FB91" s="152"/>
      <c r="FC91" s="152"/>
      <c r="FD91" s="152"/>
      <c r="FE91" s="152"/>
      <c r="FF91" s="152"/>
      <c r="FG91" s="152"/>
      <c r="FH91" s="152"/>
      <c r="FI91" s="152"/>
      <c r="FJ91" s="152"/>
      <c r="FK91" s="152"/>
      <c r="FL91" s="152"/>
      <c r="FM91" s="152"/>
      <c r="FN91" s="152"/>
      <c r="FO91" s="152"/>
      <c r="FP91" s="152"/>
      <c r="FQ91" s="152"/>
      <c r="FR91" s="152"/>
      <c r="FS91" s="152"/>
      <c r="FT91" s="152"/>
      <c r="FU91" s="152"/>
      <c r="FV91" s="152"/>
      <c r="FW91" s="152"/>
      <c r="FX91" s="152"/>
    </row>
    <row r="92" spans="1:180" s="150" customFormat="1" ht="38.25" customHeight="1" thickTop="1" thickBot="1" x14ac:dyDescent="0.3">
      <c r="A92" s="307" t="s">
        <v>1154</v>
      </c>
      <c r="B92" s="625" t="s">
        <v>2545</v>
      </c>
      <c r="C92" s="651" t="s">
        <v>1074</v>
      </c>
      <c r="D92" s="418">
        <v>2</v>
      </c>
      <c r="E92" s="418">
        <v>30</v>
      </c>
      <c r="F92" s="418">
        <v>3</v>
      </c>
      <c r="G92" s="418">
        <v>530</v>
      </c>
      <c r="H92" s="415">
        <v>160000000</v>
      </c>
      <c r="I92" s="415">
        <v>0</v>
      </c>
      <c r="J92" s="416" t="s">
        <v>1028</v>
      </c>
      <c r="K92" s="418" t="s">
        <v>578</v>
      </c>
      <c r="L92" s="417">
        <v>100</v>
      </c>
      <c r="M92" s="417">
        <v>0</v>
      </c>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152"/>
      <c r="CG92" s="152"/>
      <c r="CH92" s="152"/>
      <c r="CI92" s="152"/>
      <c r="CJ92" s="152"/>
      <c r="CK92" s="152"/>
      <c r="CL92" s="152"/>
      <c r="CM92" s="152"/>
      <c r="CN92" s="152"/>
      <c r="CO92" s="152"/>
      <c r="CP92" s="152"/>
      <c r="CQ92" s="152"/>
      <c r="CR92" s="152"/>
      <c r="CS92" s="152"/>
      <c r="CT92" s="152"/>
      <c r="CU92" s="152"/>
      <c r="CV92" s="152"/>
      <c r="CW92" s="152"/>
      <c r="CX92" s="152"/>
      <c r="CY92" s="152"/>
      <c r="CZ92" s="152"/>
      <c r="DA92" s="152"/>
      <c r="DB92" s="152"/>
      <c r="DC92" s="152"/>
      <c r="DD92" s="152"/>
      <c r="DE92" s="152"/>
      <c r="DF92" s="152"/>
      <c r="DG92" s="152"/>
      <c r="DH92" s="152"/>
      <c r="DI92" s="152"/>
      <c r="DJ92" s="152"/>
      <c r="DK92" s="152"/>
      <c r="DL92" s="152"/>
      <c r="DM92" s="152"/>
      <c r="DN92" s="152"/>
      <c r="DO92" s="152"/>
      <c r="DP92" s="152"/>
      <c r="DQ92" s="152"/>
      <c r="DR92" s="152"/>
      <c r="DS92" s="152"/>
      <c r="DT92" s="152"/>
      <c r="DU92" s="152"/>
      <c r="DV92" s="152"/>
      <c r="DW92" s="152"/>
      <c r="DX92" s="152"/>
      <c r="DY92" s="152"/>
      <c r="DZ92" s="152"/>
      <c r="EA92" s="152"/>
      <c r="EB92" s="152"/>
      <c r="EC92" s="152"/>
      <c r="ED92" s="152"/>
      <c r="EE92" s="152"/>
      <c r="EF92" s="152"/>
      <c r="EG92" s="152"/>
      <c r="EH92" s="152"/>
      <c r="EI92" s="152"/>
      <c r="EJ92" s="152"/>
      <c r="EK92" s="152"/>
      <c r="EL92" s="152"/>
      <c r="EM92" s="152"/>
      <c r="EN92" s="152"/>
      <c r="EO92" s="152"/>
      <c r="EP92" s="152"/>
      <c r="EQ92" s="152"/>
      <c r="ER92" s="152"/>
      <c r="ES92" s="152"/>
      <c r="ET92" s="152"/>
      <c r="EU92" s="152"/>
      <c r="EV92" s="152"/>
      <c r="EW92" s="152"/>
      <c r="EX92" s="152"/>
      <c r="EY92" s="152"/>
      <c r="EZ92" s="152"/>
      <c r="FA92" s="152"/>
      <c r="FB92" s="152"/>
      <c r="FC92" s="152"/>
      <c r="FD92" s="152"/>
      <c r="FE92" s="152"/>
      <c r="FF92" s="152"/>
      <c r="FG92" s="152"/>
      <c r="FH92" s="152"/>
      <c r="FI92" s="152"/>
      <c r="FJ92" s="152"/>
      <c r="FK92" s="152"/>
      <c r="FL92" s="152"/>
      <c r="FM92" s="152"/>
      <c r="FN92" s="152"/>
      <c r="FO92" s="152"/>
      <c r="FP92" s="152"/>
      <c r="FQ92" s="152"/>
      <c r="FR92" s="152"/>
      <c r="FS92" s="152"/>
      <c r="FT92" s="152"/>
      <c r="FU92" s="152"/>
      <c r="FV92" s="152"/>
      <c r="FW92" s="152"/>
      <c r="FX92" s="152"/>
    </row>
    <row r="93" spans="1:180" s="150" customFormat="1" ht="38.25" customHeight="1" thickTop="1" thickBot="1" x14ac:dyDescent="0.3">
      <c r="A93" s="307" t="s">
        <v>1154</v>
      </c>
      <c r="B93" s="625" t="s">
        <v>2545</v>
      </c>
      <c r="C93" s="652"/>
      <c r="D93" s="418">
        <v>2</v>
      </c>
      <c r="E93" s="418">
        <v>30</v>
      </c>
      <c r="F93" s="418">
        <v>3</v>
      </c>
      <c r="G93" s="418">
        <v>540</v>
      </c>
      <c r="H93" s="415">
        <v>150000000</v>
      </c>
      <c r="I93" s="415">
        <f>58500000+59869000</f>
        <v>118369000</v>
      </c>
      <c r="J93" s="416" t="s">
        <v>1029</v>
      </c>
      <c r="K93" s="418" t="s">
        <v>261</v>
      </c>
      <c r="L93" s="417">
        <f>390+437</f>
        <v>827</v>
      </c>
      <c r="M93" s="417">
        <v>827</v>
      </c>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52"/>
      <c r="CG93" s="152"/>
      <c r="CH93" s="152"/>
      <c r="CI93" s="152"/>
      <c r="CJ93" s="152"/>
      <c r="CK93" s="152"/>
      <c r="CL93" s="152"/>
      <c r="CM93" s="152"/>
      <c r="CN93" s="152"/>
      <c r="CO93" s="152"/>
      <c r="CP93" s="152"/>
      <c r="CQ93" s="152"/>
      <c r="CR93" s="152"/>
      <c r="CS93" s="152"/>
      <c r="CT93" s="152"/>
      <c r="CU93" s="152"/>
      <c r="CV93" s="152"/>
      <c r="CW93" s="152"/>
      <c r="CX93" s="152"/>
      <c r="CY93" s="152"/>
      <c r="CZ93" s="152"/>
      <c r="DA93" s="152"/>
      <c r="DB93" s="152"/>
      <c r="DC93" s="152"/>
      <c r="DD93" s="152"/>
      <c r="DE93" s="152"/>
      <c r="DF93" s="152"/>
      <c r="DG93" s="152"/>
      <c r="DH93" s="152"/>
      <c r="DI93" s="152"/>
      <c r="DJ93" s="152"/>
      <c r="DK93" s="152"/>
      <c r="DL93" s="152"/>
      <c r="DM93" s="152"/>
      <c r="DN93" s="152"/>
      <c r="DO93" s="152"/>
      <c r="DP93" s="152"/>
      <c r="DQ93" s="152"/>
      <c r="DR93" s="152"/>
      <c r="DS93" s="152"/>
      <c r="DT93" s="152"/>
      <c r="DU93" s="152"/>
      <c r="DV93" s="152"/>
      <c r="DW93" s="152"/>
      <c r="DX93" s="152"/>
      <c r="DY93" s="152"/>
      <c r="DZ93" s="152"/>
      <c r="EA93" s="152"/>
      <c r="EB93" s="152"/>
      <c r="EC93" s="152"/>
      <c r="ED93" s="152"/>
      <c r="EE93" s="152"/>
      <c r="EF93" s="152"/>
      <c r="EG93" s="152"/>
      <c r="EH93" s="152"/>
      <c r="EI93" s="152"/>
      <c r="EJ93" s="152"/>
      <c r="EK93" s="152"/>
      <c r="EL93" s="152"/>
      <c r="EM93" s="152"/>
      <c r="EN93" s="152"/>
      <c r="EO93" s="152"/>
      <c r="EP93" s="152"/>
      <c r="EQ93" s="152"/>
      <c r="ER93" s="152"/>
      <c r="ES93" s="152"/>
      <c r="ET93" s="152"/>
      <c r="EU93" s="152"/>
      <c r="EV93" s="152"/>
      <c r="EW93" s="152"/>
      <c r="EX93" s="152"/>
      <c r="EY93" s="152"/>
      <c r="EZ93" s="152"/>
      <c r="FA93" s="152"/>
      <c r="FB93" s="152"/>
      <c r="FC93" s="152"/>
      <c r="FD93" s="152"/>
      <c r="FE93" s="152"/>
      <c r="FF93" s="152"/>
      <c r="FG93" s="152"/>
      <c r="FH93" s="152"/>
      <c r="FI93" s="152"/>
      <c r="FJ93" s="152"/>
      <c r="FK93" s="152"/>
      <c r="FL93" s="152"/>
      <c r="FM93" s="152"/>
      <c r="FN93" s="152"/>
      <c r="FO93" s="152"/>
      <c r="FP93" s="152"/>
      <c r="FQ93" s="152"/>
      <c r="FR93" s="152"/>
      <c r="FS93" s="152"/>
      <c r="FT93" s="152"/>
      <c r="FU93" s="152"/>
      <c r="FV93" s="152"/>
      <c r="FW93" s="152"/>
      <c r="FX93" s="152"/>
    </row>
    <row r="94" spans="1:180" s="150" customFormat="1" ht="38.25" customHeight="1" thickTop="1" thickBot="1" x14ac:dyDescent="0.3">
      <c r="A94" s="307" t="s">
        <v>1154</v>
      </c>
      <c r="B94" s="625" t="s">
        <v>2545</v>
      </c>
      <c r="C94" s="653"/>
      <c r="D94" s="418">
        <v>2</v>
      </c>
      <c r="E94" s="418">
        <v>30</v>
      </c>
      <c r="F94" s="418">
        <v>3</v>
      </c>
      <c r="G94" s="418">
        <v>540</v>
      </c>
      <c r="H94" s="415">
        <v>150000000</v>
      </c>
      <c r="I94" s="415">
        <f>66300000+69046000</f>
        <v>135346000</v>
      </c>
      <c r="J94" s="416" t="s">
        <v>1030</v>
      </c>
      <c r="K94" s="418" t="s">
        <v>2149</v>
      </c>
      <c r="L94" s="417">
        <f>390+437</f>
        <v>827</v>
      </c>
      <c r="M94" s="417">
        <v>827</v>
      </c>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52"/>
      <c r="CG94" s="152"/>
      <c r="CH94" s="152"/>
      <c r="CI94" s="152"/>
      <c r="CJ94" s="152"/>
      <c r="CK94" s="152"/>
      <c r="CL94" s="152"/>
      <c r="CM94" s="152"/>
      <c r="CN94" s="152"/>
      <c r="CO94" s="152"/>
      <c r="CP94" s="152"/>
      <c r="CQ94" s="152"/>
      <c r="CR94" s="152"/>
      <c r="CS94" s="152"/>
      <c r="CT94" s="152"/>
      <c r="CU94" s="152"/>
      <c r="CV94" s="152"/>
      <c r="CW94" s="152"/>
      <c r="CX94" s="152"/>
      <c r="CY94" s="152"/>
      <c r="CZ94" s="152"/>
      <c r="DA94" s="152"/>
      <c r="DB94" s="152"/>
      <c r="DC94" s="152"/>
      <c r="DD94" s="152"/>
      <c r="DE94" s="152"/>
      <c r="DF94" s="152"/>
      <c r="DG94" s="152"/>
      <c r="DH94" s="152"/>
      <c r="DI94" s="152"/>
      <c r="DJ94" s="152"/>
      <c r="DK94" s="152"/>
      <c r="DL94" s="152"/>
      <c r="DM94" s="152"/>
      <c r="DN94" s="152"/>
      <c r="DO94" s="152"/>
      <c r="DP94" s="152"/>
      <c r="DQ94" s="152"/>
      <c r="DR94" s="152"/>
      <c r="DS94" s="152"/>
      <c r="DT94" s="152"/>
      <c r="DU94" s="152"/>
      <c r="DV94" s="152"/>
      <c r="DW94" s="152"/>
      <c r="DX94" s="152"/>
      <c r="DY94" s="152"/>
      <c r="DZ94" s="152"/>
      <c r="EA94" s="152"/>
      <c r="EB94" s="152"/>
      <c r="EC94" s="152"/>
      <c r="ED94" s="152"/>
      <c r="EE94" s="152"/>
      <c r="EF94" s="152"/>
      <c r="EG94" s="152"/>
      <c r="EH94" s="152"/>
      <c r="EI94" s="152"/>
      <c r="EJ94" s="152"/>
      <c r="EK94" s="152"/>
      <c r="EL94" s="152"/>
      <c r="EM94" s="152"/>
      <c r="EN94" s="152"/>
      <c r="EO94" s="152"/>
      <c r="EP94" s="152"/>
      <c r="EQ94" s="152"/>
      <c r="ER94" s="152"/>
      <c r="ES94" s="152"/>
      <c r="ET94" s="152"/>
      <c r="EU94" s="152"/>
      <c r="EV94" s="152"/>
      <c r="EW94" s="152"/>
      <c r="EX94" s="152"/>
      <c r="EY94" s="152"/>
      <c r="EZ94" s="152"/>
      <c r="FA94" s="152"/>
      <c r="FB94" s="152"/>
      <c r="FC94" s="152"/>
      <c r="FD94" s="152"/>
      <c r="FE94" s="152"/>
      <c r="FF94" s="152"/>
      <c r="FG94" s="152"/>
      <c r="FH94" s="152"/>
      <c r="FI94" s="152"/>
      <c r="FJ94" s="152"/>
      <c r="FK94" s="152"/>
      <c r="FL94" s="152"/>
      <c r="FM94" s="152"/>
      <c r="FN94" s="152"/>
      <c r="FO94" s="152"/>
      <c r="FP94" s="152"/>
      <c r="FQ94" s="152"/>
      <c r="FR94" s="152"/>
      <c r="FS94" s="152"/>
      <c r="FT94" s="152"/>
      <c r="FU94" s="152"/>
      <c r="FV94" s="152"/>
      <c r="FW94" s="152"/>
      <c r="FX94" s="152"/>
    </row>
    <row r="95" spans="1:180" s="153" customFormat="1" ht="14.25" customHeight="1" thickTop="1" thickBot="1" x14ac:dyDescent="0.3">
      <c r="A95" s="161"/>
      <c r="B95" s="475"/>
      <c r="C95" s="158"/>
      <c r="D95" s="165"/>
      <c r="E95" s="165"/>
      <c r="F95" s="165"/>
      <c r="G95" s="165"/>
      <c r="H95" s="164"/>
      <c r="I95" s="164"/>
      <c r="J95" s="165"/>
      <c r="K95" s="165"/>
      <c r="L95" s="164"/>
      <c r="M95" s="164"/>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52"/>
      <c r="CG95" s="152"/>
      <c r="CH95" s="152"/>
      <c r="CI95" s="152"/>
      <c r="CJ95" s="152"/>
      <c r="CK95" s="152"/>
      <c r="CL95" s="152"/>
      <c r="CM95" s="152"/>
      <c r="CN95" s="152"/>
      <c r="CO95" s="152"/>
      <c r="CP95" s="152"/>
      <c r="CQ95" s="152"/>
      <c r="CR95" s="152"/>
      <c r="CS95" s="152"/>
      <c r="CT95" s="152"/>
      <c r="CU95" s="152"/>
      <c r="CV95" s="152"/>
      <c r="CW95" s="152"/>
      <c r="CX95" s="152"/>
      <c r="CY95" s="152"/>
      <c r="CZ95" s="152"/>
      <c r="DA95" s="152"/>
      <c r="DB95" s="152"/>
      <c r="DC95" s="152"/>
      <c r="DD95" s="152"/>
      <c r="DE95" s="152"/>
      <c r="DF95" s="152"/>
      <c r="DG95" s="152"/>
      <c r="DH95" s="152"/>
      <c r="DI95" s="152"/>
      <c r="DJ95" s="152"/>
      <c r="DK95" s="152"/>
      <c r="DL95" s="152"/>
      <c r="DM95" s="152"/>
      <c r="DN95" s="152"/>
      <c r="DO95" s="152"/>
      <c r="DP95" s="152"/>
      <c r="DQ95" s="152"/>
      <c r="DR95" s="152"/>
      <c r="DS95" s="152"/>
      <c r="DT95" s="152"/>
      <c r="DU95" s="152"/>
      <c r="DV95" s="152"/>
      <c r="DW95" s="152"/>
      <c r="DX95" s="152"/>
      <c r="DY95" s="152"/>
      <c r="DZ95" s="152"/>
      <c r="EA95" s="152"/>
      <c r="EB95" s="152"/>
      <c r="EC95" s="152"/>
      <c r="ED95" s="152"/>
      <c r="EE95" s="152"/>
      <c r="EF95" s="152"/>
      <c r="EG95" s="152"/>
      <c r="EH95" s="152"/>
      <c r="EI95" s="152"/>
      <c r="EJ95" s="152"/>
      <c r="EK95" s="152"/>
      <c r="EL95" s="152"/>
      <c r="EM95" s="152"/>
      <c r="EN95" s="152"/>
      <c r="EO95" s="152"/>
      <c r="EP95" s="152"/>
      <c r="EQ95" s="152"/>
      <c r="ER95" s="152"/>
      <c r="ES95" s="152"/>
      <c r="ET95" s="152"/>
      <c r="EU95" s="152"/>
      <c r="EV95" s="152"/>
      <c r="EW95" s="152"/>
      <c r="EX95" s="152"/>
      <c r="EY95" s="152"/>
      <c r="EZ95" s="152"/>
      <c r="FA95" s="152"/>
      <c r="FB95" s="152"/>
      <c r="FC95" s="152"/>
      <c r="FD95" s="152"/>
      <c r="FE95" s="152"/>
      <c r="FF95" s="152"/>
      <c r="FG95" s="152"/>
      <c r="FH95" s="152"/>
      <c r="FI95" s="152"/>
      <c r="FJ95" s="152"/>
      <c r="FK95" s="152"/>
      <c r="FL95" s="152"/>
      <c r="FM95" s="152"/>
      <c r="FN95" s="152"/>
      <c r="FO95" s="152"/>
      <c r="FP95" s="152"/>
      <c r="FQ95" s="152"/>
      <c r="FR95" s="152"/>
      <c r="FS95" s="152"/>
      <c r="FT95" s="152"/>
      <c r="FU95" s="152"/>
      <c r="FV95" s="152"/>
      <c r="FW95" s="152"/>
      <c r="FX95" s="152"/>
    </row>
    <row r="96" spans="1:180" s="168" customFormat="1" ht="30" customHeight="1" thickTop="1" thickBot="1" x14ac:dyDescent="0.3">
      <c r="A96" s="639" t="s">
        <v>0</v>
      </c>
      <c r="B96" s="639" t="s">
        <v>1</v>
      </c>
      <c r="C96" s="639" t="s">
        <v>2569</v>
      </c>
      <c r="D96" s="636" t="s">
        <v>1961</v>
      </c>
      <c r="E96" s="637"/>
      <c r="F96" s="637"/>
      <c r="G96" s="638"/>
      <c r="H96" s="636" t="s">
        <v>3</v>
      </c>
      <c r="I96" s="637"/>
      <c r="J96" s="636" t="s">
        <v>1962</v>
      </c>
      <c r="K96" s="637"/>
      <c r="L96" s="637"/>
      <c r="M96" s="638"/>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row>
    <row r="97" spans="1:180" s="152" customFormat="1" ht="34.5" customHeight="1" thickTop="1" thickBot="1" x14ac:dyDescent="0.3">
      <c r="A97" s="661"/>
      <c r="B97" s="661"/>
      <c r="C97" s="661"/>
      <c r="D97" s="406" t="s">
        <v>4</v>
      </c>
      <c r="E97" s="406" t="s">
        <v>5</v>
      </c>
      <c r="F97" s="406" t="s">
        <v>6</v>
      </c>
      <c r="G97" s="406" t="s">
        <v>7</v>
      </c>
      <c r="H97" s="406" t="s">
        <v>2</v>
      </c>
      <c r="I97" s="406" t="s">
        <v>3</v>
      </c>
      <c r="J97" s="406" t="s">
        <v>8</v>
      </c>
      <c r="K97" s="406" t="s">
        <v>9</v>
      </c>
      <c r="L97" s="406" t="s">
        <v>1963</v>
      </c>
      <c r="M97" s="406" t="s">
        <v>1964</v>
      </c>
    </row>
    <row r="98" spans="1:180" s="150" customFormat="1" ht="60.75" customHeight="1" thickTop="1" thickBot="1" x14ac:dyDescent="0.3">
      <c r="A98" s="307" t="s">
        <v>2547</v>
      </c>
      <c r="B98" s="625" t="s">
        <v>2545</v>
      </c>
      <c r="C98" s="651" t="s">
        <v>18</v>
      </c>
      <c r="D98" s="418">
        <v>2</v>
      </c>
      <c r="E98" s="418">
        <v>30</v>
      </c>
      <c r="F98" s="418">
        <v>3</v>
      </c>
      <c r="G98" s="418">
        <v>848</v>
      </c>
      <c r="H98" s="435">
        <v>497433609</v>
      </c>
      <c r="I98" s="435">
        <v>343379400</v>
      </c>
      <c r="J98" s="416" t="s">
        <v>1032</v>
      </c>
      <c r="K98" s="418" t="s">
        <v>20</v>
      </c>
      <c r="L98" s="418">
        <v>307</v>
      </c>
      <c r="M98" s="418">
        <v>307</v>
      </c>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c r="CG98" s="152"/>
      <c r="CH98" s="152"/>
      <c r="CI98" s="152"/>
      <c r="CJ98" s="152"/>
      <c r="CK98" s="152"/>
      <c r="CL98" s="152"/>
      <c r="CM98" s="152"/>
      <c r="CN98" s="152"/>
      <c r="CO98" s="152"/>
      <c r="CP98" s="152"/>
      <c r="CQ98" s="152"/>
      <c r="CR98" s="152"/>
      <c r="CS98" s="152"/>
      <c r="CT98" s="152"/>
      <c r="CU98" s="152"/>
      <c r="CV98" s="152"/>
      <c r="CW98" s="152"/>
      <c r="CX98" s="152"/>
      <c r="CY98" s="152"/>
      <c r="CZ98" s="152"/>
      <c r="DA98" s="152"/>
      <c r="DB98" s="152"/>
      <c r="DC98" s="152"/>
      <c r="DD98" s="152"/>
      <c r="DE98" s="152"/>
      <c r="DF98" s="152"/>
      <c r="DG98" s="152"/>
      <c r="DH98" s="152"/>
      <c r="DI98" s="152"/>
      <c r="DJ98" s="152"/>
      <c r="DK98" s="152"/>
      <c r="DL98" s="152"/>
      <c r="DM98" s="152"/>
      <c r="DN98" s="152"/>
      <c r="DO98" s="152"/>
      <c r="DP98" s="152"/>
      <c r="DQ98" s="152"/>
      <c r="DR98" s="152"/>
      <c r="DS98" s="152"/>
      <c r="DT98" s="152"/>
      <c r="DU98" s="152"/>
      <c r="DV98" s="152"/>
      <c r="DW98" s="152"/>
      <c r="DX98" s="152"/>
      <c r="DY98" s="152"/>
      <c r="DZ98" s="152"/>
      <c r="EA98" s="152"/>
      <c r="EB98" s="152"/>
      <c r="EC98" s="152"/>
      <c r="ED98" s="152"/>
      <c r="EE98" s="152"/>
      <c r="EF98" s="152"/>
      <c r="EG98" s="152"/>
      <c r="EH98" s="152"/>
      <c r="EI98" s="152"/>
      <c r="EJ98" s="152"/>
      <c r="EK98" s="152"/>
      <c r="EL98" s="152"/>
      <c r="EM98" s="152"/>
      <c r="EN98" s="152"/>
      <c r="EO98" s="152"/>
      <c r="EP98" s="152"/>
      <c r="EQ98" s="152"/>
      <c r="ER98" s="152"/>
      <c r="ES98" s="152"/>
      <c r="ET98" s="152"/>
      <c r="EU98" s="152"/>
      <c r="EV98" s="152"/>
      <c r="EW98" s="152"/>
      <c r="EX98" s="152"/>
      <c r="EY98" s="152"/>
      <c r="EZ98" s="152"/>
      <c r="FA98" s="152"/>
      <c r="FB98" s="152"/>
      <c r="FC98" s="152"/>
      <c r="FD98" s="152"/>
      <c r="FE98" s="152"/>
      <c r="FF98" s="152"/>
      <c r="FG98" s="152"/>
      <c r="FH98" s="152"/>
      <c r="FI98" s="152"/>
      <c r="FJ98" s="152"/>
      <c r="FK98" s="152"/>
      <c r="FL98" s="152"/>
      <c r="FM98" s="152"/>
      <c r="FN98" s="152"/>
      <c r="FO98" s="152"/>
      <c r="FP98" s="152"/>
      <c r="FQ98" s="152"/>
      <c r="FR98" s="152"/>
      <c r="FS98" s="152"/>
      <c r="FT98" s="152"/>
      <c r="FU98" s="152"/>
      <c r="FV98" s="152"/>
      <c r="FW98" s="152"/>
      <c r="FX98" s="152"/>
    </row>
    <row r="99" spans="1:180" s="150" customFormat="1" ht="39" customHeight="1" thickTop="1" thickBot="1" x14ac:dyDescent="0.3">
      <c r="A99" s="307" t="s">
        <v>2547</v>
      </c>
      <c r="B99" s="625" t="s">
        <v>2545</v>
      </c>
      <c r="C99" s="653"/>
      <c r="D99" s="418">
        <v>2</v>
      </c>
      <c r="E99" s="418">
        <v>30</v>
      </c>
      <c r="F99" s="418">
        <v>3</v>
      </c>
      <c r="G99" s="418">
        <v>960</v>
      </c>
      <c r="H99" s="435">
        <v>95329000</v>
      </c>
      <c r="I99" s="435">
        <v>95329000</v>
      </c>
      <c r="J99" s="416" t="s">
        <v>987</v>
      </c>
      <c r="K99" s="418" t="s">
        <v>16</v>
      </c>
      <c r="L99" s="418">
        <v>1</v>
      </c>
      <c r="M99" s="418">
        <v>1</v>
      </c>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152"/>
      <c r="CK99" s="152"/>
      <c r="CL99" s="152"/>
      <c r="CM99" s="152"/>
      <c r="CN99" s="152"/>
      <c r="CO99" s="152"/>
      <c r="CP99" s="152"/>
      <c r="CQ99" s="152"/>
      <c r="CR99" s="152"/>
      <c r="CS99" s="152"/>
      <c r="CT99" s="152"/>
      <c r="CU99" s="152"/>
      <c r="CV99" s="152"/>
      <c r="CW99" s="152"/>
      <c r="CX99" s="152"/>
      <c r="CY99" s="152"/>
      <c r="CZ99" s="152"/>
      <c r="DA99" s="152"/>
      <c r="DB99" s="152"/>
      <c r="DC99" s="152"/>
      <c r="DD99" s="152"/>
      <c r="DE99" s="152"/>
      <c r="DF99" s="152"/>
      <c r="DG99" s="152"/>
      <c r="DH99" s="152"/>
      <c r="DI99" s="152"/>
      <c r="DJ99" s="152"/>
      <c r="DK99" s="152"/>
      <c r="DL99" s="152"/>
      <c r="DM99" s="152"/>
      <c r="DN99" s="152"/>
      <c r="DO99" s="152"/>
      <c r="DP99" s="152"/>
      <c r="DQ99" s="152"/>
      <c r="DR99" s="152"/>
      <c r="DS99" s="152"/>
      <c r="DT99" s="152"/>
      <c r="DU99" s="152"/>
      <c r="DV99" s="152"/>
      <c r="DW99" s="152"/>
      <c r="DX99" s="152"/>
      <c r="DY99" s="152"/>
      <c r="DZ99" s="152"/>
      <c r="EA99" s="152"/>
      <c r="EB99" s="152"/>
      <c r="EC99" s="152"/>
      <c r="ED99" s="152"/>
      <c r="EE99" s="152"/>
      <c r="EF99" s="152"/>
      <c r="EG99" s="152"/>
      <c r="EH99" s="152"/>
      <c r="EI99" s="152"/>
      <c r="EJ99" s="152"/>
      <c r="EK99" s="152"/>
      <c r="EL99" s="152"/>
      <c r="EM99" s="152"/>
      <c r="EN99" s="152"/>
      <c r="EO99" s="152"/>
      <c r="EP99" s="152"/>
      <c r="EQ99" s="152"/>
      <c r="ER99" s="152"/>
      <c r="ES99" s="152"/>
      <c r="ET99" s="152"/>
      <c r="EU99" s="152"/>
      <c r="EV99" s="152"/>
      <c r="EW99" s="152"/>
      <c r="EX99" s="152"/>
      <c r="EY99" s="152"/>
      <c r="EZ99" s="152"/>
      <c r="FA99" s="152"/>
      <c r="FB99" s="152"/>
      <c r="FC99" s="152"/>
      <c r="FD99" s="152"/>
      <c r="FE99" s="152"/>
      <c r="FF99" s="152"/>
      <c r="FG99" s="152"/>
      <c r="FH99" s="152"/>
      <c r="FI99" s="152"/>
      <c r="FJ99" s="152"/>
      <c r="FK99" s="152"/>
      <c r="FL99" s="152"/>
      <c r="FM99" s="152"/>
      <c r="FN99" s="152"/>
      <c r="FO99" s="152"/>
      <c r="FP99" s="152"/>
      <c r="FQ99" s="152"/>
      <c r="FR99" s="152"/>
      <c r="FS99" s="152"/>
      <c r="FT99" s="152"/>
      <c r="FU99" s="152"/>
      <c r="FV99" s="152"/>
      <c r="FW99" s="152"/>
      <c r="FX99" s="152"/>
    </row>
    <row r="100" spans="1:180" s="150" customFormat="1" ht="74.25" customHeight="1" thickTop="1" thickBot="1" x14ac:dyDescent="0.3">
      <c r="A100" s="307" t="s">
        <v>2547</v>
      </c>
      <c r="B100" s="625" t="s">
        <v>2545</v>
      </c>
      <c r="C100" s="654" t="s">
        <v>53</v>
      </c>
      <c r="D100" s="418">
        <v>2</v>
      </c>
      <c r="E100" s="418">
        <v>30</v>
      </c>
      <c r="F100" s="418">
        <v>3</v>
      </c>
      <c r="G100" s="418">
        <v>520</v>
      </c>
      <c r="H100" s="435">
        <v>472000000</v>
      </c>
      <c r="I100" s="435">
        <v>471610578</v>
      </c>
      <c r="J100" s="416" t="s">
        <v>1033</v>
      </c>
      <c r="K100" s="418" t="s">
        <v>55</v>
      </c>
      <c r="L100" s="418">
        <v>4</v>
      </c>
      <c r="M100" s="418">
        <v>4</v>
      </c>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52"/>
      <c r="CJ100" s="152"/>
      <c r="CK100" s="152"/>
      <c r="CL100" s="152"/>
      <c r="CM100" s="152"/>
      <c r="CN100" s="152"/>
      <c r="CO100" s="152"/>
      <c r="CP100" s="152"/>
      <c r="CQ100" s="152"/>
      <c r="CR100" s="152"/>
      <c r="CS100" s="152"/>
      <c r="CT100" s="152"/>
      <c r="CU100" s="152"/>
      <c r="CV100" s="152"/>
      <c r="CW100" s="152"/>
      <c r="CX100" s="152"/>
      <c r="CY100" s="152"/>
      <c r="CZ100" s="152"/>
      <c r="DA100" s="152"/>
      <c r="DB100" s="152"/>
      <c r="DC100" s="152"/>
      <c r="DD100" s="152"/>
      <c r="DE100" s="152"/>
      <c r="DF100" s="152"/>
      <c r="DG100" s="152"/>
      <c r="DH100" s="152"/>
      <c r="DI100" s="152"/>
      <c r="DJ100" s="152"/>
      <c r="DK100" s="152"/>
      <c r="DL100" s="152"/>
      <c r="DM100" s="152"/>
      <c r="DN100" s="152"/>
      <c r="DO100" s="152"/>
      <c r="DP100" s="152"/>
      <c r="DQ100" s="152"/>
      <c r="DR100" s="152"/>
      <c r="DS100" s="152"/>
      <c r="DT100" s="152"/>
      <c r="DU100" s="152"/>
      <c r="DV100" s="152"/>
      <c r="DW100" s="152"/>
      <c r="DX100" s="152"/>
      <c r="DY100" s="152"/>
      <c r="DZ100" s="152"/>
      <c r="EA100" s="152"/>
      <c r="EB100" s="152"/>
      <c r="EC100" s="152"/>
      <c r="ED100" s="152"/>
      <c r="EE100" s="152"/>
      <c r="EF100" s="152"/>
      <c r="EG100" s="152"/>
      <c r="EH100" s="152"/>
      <c r="EI100" s="152"/>
      <c r="EJ100" s="152"/>
      <c r="EK100" s="152"/>
      <c r="EL100" s="152"/>
      <c r="EM100" s="152"/>
      <c r="EN100" s="152"/>
      <c r="EO100" s="152"/>
      <c r="EP100" s="152"/>
      <c r="EQ100" s="152"/>
      <c r="ER100" s="152"/>
      <c r="ES100" s="152"/>
      <c r="ET100" s="152"/>
      <c r="EU100" s="152"/>
      <c r="EV100" s="152"/>
      <c r="EW100" s="152"/>
      <c r="EX100" s="152"/>
      <c r="EY100" s="152"/>
      <c r="EZ100" s="152"/>
      <c r="FA100" s="152"/>
      <c r="FB100" s="152"/>
      <c r="FC100" s="152"/>
      <c r="FD100" s="152"/>
      <c r="FE100" s="152"/>
      <c r="FF100" s="152"/>
      <c r="FG100" s="152"/>
      <c r="FH100" s="152"/>
      <c r="FI100" s="152"/>
      <c r="FJ100" s="152"/>
      <c r="FK100" s="152"/>
      <c r="FL100" s="152"/>
      <c r="FM100" s="152"/>
      <c r="FN100" s="152"/>
      <c r="FO100" s="152"/>
      <c r="FP100" s="152"/>
      <c r="FQ100" s="152"/>
      <c r="FR100" s="152"/>
      <c r="FS100" s="152"/>
      <c r="FT100" s="152"/>
      <c r="FU100" s="152"/>
      <c r="FV100" s="152"/>
      <c r="FW100" s="152"/>
      <c r="FX100" s="152"/>
    </row>
    <row r="101" spans="1:180" s="150" customFormat="1" ht="69" thickTop="1" thickBot="1" x14ac:dyDescent="0.3">
      <c r="A101" s="307" t="s">
        <v>2547</v>
      </c>
      <c r="B101" s="625" t="s">
        <v>2545</v>
      </c>
      <c r="C101" s="654"/>
      <c r="D101" s="418">
        <v>2</v>
      </c>
      <c r="E101" s="418">
        <v>30</v>
      </c>
      <c r="F101" s="418">
        <v>3</v>
      </c>
      <c r="G101" s="418">
        <v>520</v>
      </c>
      <c r="H101" s="435">
        <v>424000000</v>
      </c>
      <c r="I101" s="435">
        <v>423646094</v>
      </c>
      <c r="J101" s="416" t="s">
        <v>1034</v>
      </c>
      <c r="K101" s="418" t="s">
        <v>55</v>
      </c>
      <c r="L101" s="418">
        <v>6</v>
      </c>
      <c r="M101" s="418">
        <v>6</v>
      </c>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52"/>
      <c r="CG101" s="152"/>
      <c r="CH101" s="152"/>
      <c r="CI101" s="152"/>
      <c r="CJ101" s="152"/>
      <c r="CK101" s="152"/>
      <c r="CL101" s="152"/>
      <c r="CM101" s="152"/>
      <c r="CN101" s="152"/>
      <c r="CO101" s="152"/>
      <c r="CP101" s="152"/>
      <c r="CQ101" s="152"/>
      <c r="CR101" s="152"/>
      <c r="CS101" s="152"/>
      <c r="CT101" s="152"/>
      <c r="CU101" s="152"/>
      <c r="CV101" s="152"/>
      <c r="CW101" s="152"/>
      <c r="CX101" s="152"/>
      <c r="CY101" s="152"/>
      <c r="CZ101" s="152"/>
      <c r="DA101" s="152"/>
      <c r="DB101" s="152"/>
      <c r="DC101" s="152"/>
      <c r="DD101" s="152"/>
      <c r="DE101" s="152"/>
      <c r="DF101" s="152"/>
      <c r="DG101" s="152"/>
      <c r="DH101" s="152"/>
      <c r="DI101" s="152"/>
      <c r="DJ101" s="152"/>
      <c r="DK101" s="152"/>
      <c r="DL101" s="152"/>
      <c r="DM101" s="152"/>
      <c r="DN101" s="152"/>
      <c r="DO101" s="152"/>
      <c r="DP101" s="152"/>
      <c r="DQ101" s="152"/>
      <c r="DR101" s="152"/>
      <c r="DS101" s="152"/>
      <c r="DT101" s="152"/>
      <c r="DU101" s="152"/>
      <c r="DV101" s="152"/>
      <c r="DW101" s="152"/>
      <c r="DX101" s="152"/>
      <c r="DY101" s="152"/>
      <c r="DZ101" s="152"/>
      <c r="EA101" s="152"/>
      <c r="EB101" s="152"/>
      <c r="EC101" s="152"/>
      <c r="ED101" s="152"/>
      <c r="EE101" s="152"/>
      <c r="EF101" s="152"/>
      <c r="EG101" s="152"/>
      <c r="EH101" s="152"/>
      <c r="EI101" s="152"/>
      <c r="EJ101" s="152"/>
      <c r="EK101" s="152"/>
      <c r="EL101" s="152"/>
      <c r="EM101" s="152"/>
      <c r="EN101" s="152"/>
      <c r="EO101" s="152"/>
      <c r="EP101" s="152"/>
      <c r="EQ101" s="152"/>
      <c r="ER101" s="152"/>
      <c r="ES101" s="152"/>
      <c r="ET101" s="152"/>
      <c r="EU101" s="152"/>
      <c r="EV101" s="152"/>
      <c r="EW101" s="152"/>
      <c r="EX101" s="152"/>
      <c r="EY101" s="152"/>
      <c r="EZ101" s="152"/>
      <c r="FA101" s="152"/>
      <c r="FB101" s="152"/>
      <c r="FC101" s="152"/>
      <c r="FD101" s="152"/>
      <c r="FE101" s="152"/>
      <c r="FF101" s="152"/>
      <c r="FG101" s="152"/>
      <c r="FH101" s="152"/>
      <c r="FI101" s="152"/>
      <c r="FJ101" s="152"/>
      <c r="FK101" s="152"/>
      <c r="FL101" s="152"/>
      <c r="FM101" s="152"/>
      <c r="FN101" s="152"/>
      <c r="FO101" s="152"/>
      <c r="FP101" s="152"/>
      <c r="FQ101" s="152"/>
      <c r="FR101" s="152"/>
      <c r="FS101" s="152"/>
      <c r="FT101" s="152"/>
      <c r="FU101" s="152"/>
      <c r="FV101" s="152"/>
      <c r="FW101" s="152"/>
      <c r="FX101" s="152"/>
    </row>
    <row r="102" spans="1:180" s="150" customFormat="1" ht="35.25" thickTop="1" thickBot="1" x14ac:dyDescent="0.3">
      <c r="A102" s="307" t="s">
        <v>2547</v>
      </c>
      <c r="B102" s="625" t="s">
        <v>2545</v>
      </c>
      <c r="C102" s="654"/>
      <c r="D102" s="418">
        <v>2</v>
      </c>
      <c r="E102" s="418">
        <v>30</v>
      </c>
      <c r="F102" s="418">
        <v>3</v>
      </c>
      <c r="G102" s="418">
        <v>520</v>
      </c>
      <c r="H102" s="435">
        <v>40000000</v>
      </c>
      <c r="I102" s="435">
        <v>0</v>
      </c>
      <c r="J102" s="416" t="s">
        <v>1035</v>
      </c>
      <c r="K102" s="418" t="s">
        <v>25</v>
      </c>
      <c r="L102" s="418">
        <v>1</v>
      </c>
      <c r="M102" s="418">
        <v>0</v>
      </c>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c r="CG102" s="152"/>
      <c r="CH102" s="152"/>
      <c r="CI102" s="152"/>
      <c r="CJ102" s="152"/>
      <c r="CK102" s="152"/>
      <c r="CL102" s="152"/>
      <c r="CM102" s="152"/>
      <c r="CN102" s="152"/>
      <c r="CO102" s="152"/>
      <c r="CP102" s="152"/>
      <c r="CQ102" s="152"/>
      <c r="CR102" s="152"/>
      <c r="CS102" s="152"/>
      <c r="CT102" s="152"/>
      <c r="CU102" s="152"/>
      <c r="CV102" s="152"/>
      <c r="CW102" s="152"/>
      <c r="CX102" s="152"/>
      <c r="CY102" s="152"/>
      <c r="CZ102" s="152"/>
      <c r="DA102" s="152"/>
      <c r="DB102" s="152"/>
      <c r="DC102" s="152"/>
      <c r="DD102" s="152"/>
      <c r="DE102" s="152"/>
      <c r="DF102" s="152"/>
      <c r="DG102" s="152"/>
      <c r="DH102" s="152"/>
      <c r="DI102" s="152"/>
      <c r="DJ102" s="152"/>
      <c r="DK102" s="152"/>
      <c r="DL102" s="152"/>
      <c r="DM102" s="152"/>
      <c r="DN102" s="152"/>
      <c r="DO102" s="152"/>
      <c r="DP102" s="152"/>
      <c r="DQ102" s="152"/>
      <c r="DR102" s="152"/>
      <c r="DS102" s="152"/>
      <c r="DT102" s="152"/>
      <c r="DU102" s="152"/>
      <c r="DV102" s="152"/>
      <c r="DW102" s="152"/>
      <c r="DX102" s="152"/>
      <c r="DY102" s="152"/>
      <c r="DZ102" s="152"/>
      <c r="EA102" s="152"/>
      <c r="EB102" s="152"/>
      <c r="EC102" s="152"/>
      <c r="ED102" s="152"/>
      <c r="EE102" s="152"/>
      <c r="EF102" s="152"/>
      <c r="EG102" s="152"/>
      <c r="EH102" s="152"/>
      <c r="EI102" s="152"/>
      <c r="EJ102" s="152"/>
      <c r="EK102" s="152"/>
      <c r="EL102" s="152"/>
      <c r="EM102" s="152"/>
      <c r="EN102" s="152"/>
      <c r="EO102" s="152"/>
      <c r="EP102" s="152"/>
      <c r="EQ102" s="152"/>
      <c r="ER102" s="152"/>
      <c r="ES102" s="152"/>
      <c r="ET102" s="152"/>
      <c r="EU102" s="152"/>
      <c r="EV102" s="152"/>
      <c r="EW102" s="152"/>
      <c r="EX102" s="152"/>
      <c r="EY102" s="152"/>
      <c r="EZ102" s="152"/>
      <c r="FA102" s="152"/>
      <c r="FB102" s="152"/>
      <c r="FC102" s="152"/>
      <c r="FD102" s="152"/>
      <c r="FE102" s="152"/>
      <c r="FF102" s="152"/>
      <c r="FG102" s="152"/>
      <c r="FH102" s="152"/>
      <c r="FI102" s="152"/>
      <c r="FJ102" s="152"/>
      <c r="FK102" s="152"/>
      <c r="FL102" s="152"/>
      <c r="FM102" s="152"/>
      <c r="FN102" s="152"/>
      <c r="FO102" s="152"/>
      <c r="FP102" s="152"/>
      <c r="FQ102" s="152"/>
      <c r="FR102" s="152"/>
      <c r="FS102" s="152"/>
      <c r="FT102" s="152"/>
      <c r="FU102" s="152"/>
      <c r="FV102" s="152"/>
      <c r="FW102" s="152"/>
      <c r="FX102" s="152"/>
    </row>
    <row r="103" spans="1:180" s="150" customFormat="1" ht="27.75" customHeight="1" thickTop="1" thickBot="1" x14ac:dyDescent="0.3">
      <c r="A103" s="307" t="s">
        <v>2547</v>
      </c>
      <c r="B103" s="625" t="s">
        <v>2545</v>
      </c>
      <c r="C103" s="654"/>
      <c r="D103" s="418">
        <v>2</v>
      </c>
      <c r="E103" s="418">
        <v>30</v>
      </c>
      <c r="F103" s="418">
        <v>3</v>
      </c>
      <c r="G103" s="418">
        <v>520</v>
      </c>
      <c r="H103" s="435">
        <f>140000000-128602022</f>
        <v>11397978</v>
      </c>
      <c r="I103" s="435">
        <v>0</v>
      </c>
      <c r="J103" s="416" t="s">
        <v>1036</v>
      </c>
      <c r="K103" s="418" t="s">
        <v>13</v>
      </c>
      <c r="L103" s="418">
        <v>2</v>
      </c>
      <c r="M103" s="418">
        <v>0</v>
      </c>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52"/>
      <c r="CG103" s="152"/>
      <c r="CH103" s="152"/>
      <c r="CI103" s="152"/>
      <c r="CJ103" s="152"/>
      <c r="CK103" s="152"/>
      <c r="CL103" s="152"/>
      <c r="CM103" s="152"/>
      <c r="CN103" s="152"/>
      <c r="CO103" s="152"/>
      <c r="CP103" s="152"/>
      <c r="CQ103" s="152"/>
      <c r="CR103" s="152"/>
      <c r="CS103" s="152"/>
      <c r="CT103" s="152"/>
      <c r="CU103" s="152"/>
      <c r="CV103" s="152"/>
      <c r="CW103" s="152"/>
      <c r="CX103" s="152"/>
      <c r="CY103" s="152"/>
      <c r="CZ103" s="152"/>
      <c r="DA103" s="152"/>
      <c r="DB103" s="152"/>
      <c r="DC103" s="152"/>
      <c r="DD103" s="152"/>
      <c r="DE103" s="152"/>
      <c r="DF103" s="152"/>
      <c r="DG103" s="152"/>
      <c r="DH103" s="152"/>
      <c r="DI103" s="152"/>
      <c r="DJ103" s="152"/>
      <c r="DK103" s="152"/>
      <c r="DL103" s="152"/>
      <c r="DM103" s="152"/>
      <c r="DN103" s="152"/>
      <c r="DO103" s="152"/>
      <c r="DP103" s="152"/>
      <c r="DQ103" s="152"/>
      <c r="DR103" s="152"/>
      <c r="DS103" s="152"/>
      <c r="DT103" s="152"/>
      <c r="DU103" s="152"/>
      <c r="DV103" s="152"/>
      <c r="DW103" s="152"/>
      <c r="DX103" s="152"/>
      <c r="DY103" s="152"/>
      <c r="DZ103" s="152"/>
      <c r="EA103" s="152"/>
      <c r="EB103" s="152"/>
      <c r="EC103" s="152"/>
      <c r="ED103" s="152"/>
      <c r="EE103" s="152"/>
      <c r="EF103" s="152"/>
      <c r="EG103" s="152"/>
      <c r="EH103" s="152"/>
      <c r="EI103" s="152"/>
      <c r="EJ103" s="152"/>
      <c r="EK103" s="152"/>
      <c r="EL103" s="152"/>
      <c r="EM103" s="152"/>
      <c r="EN103" s="152"/>
      <c r="EO103" s="152"/>
      <c r="EP103" s="152"/>
      <c r="EQ103" s="152"/>
      <c r="ER103" s="152"/>
      <c r="ES103" s="152"/>
      <c r="ET103" s="152"/>
      <c r="EU103" s="152"/>
      <c r="EV103" s="152"/>
      <c r="EW103" s="152"/>
      <c r="EX103" s="152"/>
      <c r="EY103" s="152"/>
      <c r="EZ103" s="152"/>
      <c r="FA103" s="152"/>
      <c r="FB103" s="152"/>
      <c r="FC103" s="152"/>
      <c r="FD103" s="152"/>
      <c r="FE103" s="152"/>
      <c r="FF103" s="152"/>
      <c r="FG103" s="152"/>
      <c r="FH103" s="152"/>
      <c r="FI103" s="152"/>
      <c r="FJ103" s="152"/>
      <c r="FK103" s="152"/>
      <c r="FL103" s="152"/>
      <c r="FM103" s="152"/>
      <c r="FN103" s="152"/>
      <c r="FO103" s="152"/>
      <c r="FP103" s="152"/>
      <c r="FQ103" s="152"/>
      <c r="FR103" s="152"/>
      <c r="FS103" s="152"/>
      <c r="FT103" s="152"/>
      <c r="FU103" s="152"/>
      <c r="FV103" s="152"/>
      <c r="FW103" s="152"/>
      <c r="FX103" s="152"/>
    </row>
    <row r="104" spans="1:180" s="150" customFormat="1" ht="35.25" thickTop="1" thickBot="1" x14ac:dyDescent="0.3">
      <c r="A104" s="307" t="s">
        <v>2547</v>
      </c>
      <c r="B104" s="625" t="s">
        <v>2545</v>
      </c>
      <c r="C104" s="654" t="s">
        <v>105</v>
      </c>
      <c r="D104" s="418">
        <v>2</v>
      </c>
      <c r="E104" s="418">
        <v>30</v>
      </c>
      <c r="F104" s="418">
        <v>3</v>
      </c>
      <c r="G104" s="418">
        <v>540</v>
      </c>
      <c r="H104" s="213">
        <v>45300000</v>
      </c>
      <c r="I104" s="213">
        <f>312*145000</f>
        <v>45240000</v>
      </c>
      <c r="J104" s="416" t="s">
        <v>1037</v>
      </c>
      <c r="K104" s="418" t="s">
        <v>230</v>
      </c>
      <c r="L104" s="443">
        <v>312</v>
      </c>
      <c r="M104" s="443">
        <v>312</v>
      </c>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152"/>
      <c r="CG104" s="152"/>
      <c r="CH104" s="152"/>
      <c r="CI104" s="152"/>
      <c r="CJ104" s="152"/>
      <c r="CK104" s="152"/>
      <c r="CL104" s="152"/>
      <c r="CM104" s="152"/>
      <c r="CN104" s="152"/>
      <c r="CO104" s="152"/>
      <c r="CP104" s="152"/>
      <c r="CQ104" s="152"/>
      <c r="CR104" s="152"/>
      <c r="CS104" s="152"/>
      <c r="CT104" s="152"/>
      <c r="CU104" s="152"/>
      <c r="CV104" s="152"/>
      <c r="CW104" s="152"/>
      <c r="CX104" s="152"/>
      <c r="CY104" s="152"/>
      <c r="CZ104" s="152"/>
      <c r="DA104" s="152"/>
      <c r="DB104" s="152"/>
      <c r="DC104" s="152"/>
      <c r="DD104" s="152"/>
      <c r="DE104" s="152"/>
      <c r="DF104" s="152"/>
      <c r="DG104" s="152"/>
      <c r="DH104" s="152"/>
      <c r="DI104" s="152"/>
      <c r="DJ104" s="152"/>
      <c r="DK104" s="152"/>
      <c r="DL104" s="152"/>
      <c r="DM104" s="152"/>
      <c r="DN104" s="152"/>
      <c r="DO104" s="152"/>
      <c r="DP104" s="152"/>
      <c r="DQ104" s="152"/>
      <c r="DR104" s="152"/>
      <c r="DS104" s="152"/>
      <c r="DT104" s="152"/>
      <c r="DU104" s="152"/>
      <c r="DV104" s="152"/>
      <c r="DW104" s="152"/>
      <c r="DX104" s="152"/>
      <c r="DY104" s="152"/>
      <c r="DZ104" s="152"/>
      <c r="EA104" s="152"/>
      <c r="EB104" s="152"/>
      <c r="EC104" s="152"/>
      <c r="ED104" s="152"/>
      <c r="EE104" s="152"/>
      <c r="EF104" s="152"/>
      <c r="EG104" s="152"/>
      <c r="EH104" s="152"/>
      <c r="EI104" s="152"/>
      <c r="EJ104" s="152"/>
      <c r="EK104" s="152"/>
      <c r="EL104" s="152"/>
      <c r="EM104" s="152"/>
      <c r="EN104" s="152"/>
      <c r="EO104" s="152"/>
      <c r="EP104" s="152"/>
      <c r="EQ104" s="152"/>
      <c r="ER104" s="152"/>
      <c r="ES104" s="152"/>
      <c r="ET104" s="152"/>
      <c r="EU104" s="152"/>
      <c r="EV104" s="152"/>
      <c r="EW104" s="152"/>
      <c r="EX104" s="152"/>
      <c r="EY104" s="152"/>
      <c r="EZ104" s="152"/>
      <c r="FA104" s="152"/>
      <c r="FB104" s="152"/>
      <c r="FC104" s="152"/>
      <c r="FD104" s="152"/>
      <c r="FE104" s="152"/>
      <c r="FF104" s="152"/>
      <c r="FG104" s="152"/>
      <c r="FH104" s="152"/>
      <c r="FI104" s="152"/>
      <c r="FJ104" s="152"/>
      <c r="FK104" s="152"/>
      <c r="FL104" s="152"/>
      <c r="FM104" s="152"/>
      <c r="FN104" s="152"/>
      <c r="FO104" s="152"/>
      <c r="FP104" s="152"/>
      <c r="FQ104" s="152"/>
      <c r="FR104" s="152"/>
      <c r="FS104" s="152"/>
      <c r="FT104" s="152"/>
      <c r="FU104" s="152"/>
      <c r="FV104" s="152"/>
      <c r="FW104" s="152"/>
      <c r="FX104" s="152"/>
    </row>
    <row r="105" spans="1:180" s="150" customFormat="1" ht="35.25" thickTop="1" thickBot="1" x14ac:dyDescent="0.3">
      <c r="A105" s="307" t="s">
        <v>2547</v>
      </c>
      <c r="B105" s="625" t="s">
        <v>2545</v>
      </c>
      <c r="C105" s="654"/>
      <c r="D105" s="418">
        <v>2</v>
      </c>
      <c r="E105" s="418">
        <v>30</v>
      </c>
      <c r="F105" s="418">
        <v>3</v>
      </c>
      <c r="G105" s="418">
        <v>540</v>
      </c>
      <c r="H105" s="213">
        <v>51600000</v>
      </c>
      <c r="I105" s="213">
        <f>312*165000</f>
        <v>51480000</v>
      </c>
      <c r="J105" s="416" t="s">
        <v>1038</v>
      </c>
      <c r="K105" s="418" t="s">
        <v>1031</v>
      </c>
      <c r="L105" s="443">
        <v>312</v>
      </c>
      <c r="M105" s="443">
        <v>312</v>
      </c>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152"/>
      <c r="CG105" s="152"/>
      <c r="CH105" s="152"/>
      <c r="CI105" s="152"/>
      <c r="CJ105" s="152"/>
      <c r="CK105" s="152"/>
      <c r="CL105" s="152"/>
      <c r="CM105" s="152"/>
      <c r="CN105" s="152"/>
      <c r="CO105" s="152"/>
      <c r="CP105" s="152"/>
      <c r="CQ105" s="152"/>
      <c r="CR105" s="152"/>
      <c r="CS105" s="152"/>
      <c r="CT105" s="152"/>
      <c r="CU105" s="152"/>
      <c r="CV105" s="152"/>
      <c r="CW105" s="152"/>
      <c r="CX105" s="152"/>
      <c r="CY105" s="152"/>
      <c r="CZ105" s="152"/>
      <c r="DA105" s="152"/>
      <c r="DB105" s="152"/>
      <c r="DC105" s="152"/>
      <c r="DD105" s="152"/>
      <c r="DE105" s="152"/>
      <c r="DF105" s="152"/>
      <c r="DG105" s="152"/>
      <c r="DH105" s="152"/>
      <c r="DI105" s="152"/>
      <c r="DJ105" s="152"/>
      <c r="DK105" s="152"/>
      <c r="DL105" s="152"/>
      <c r="DM105" s="152"/>
      <c r="DN105" s="152"/>
      <c r="DO105" s="152"/>
      <c r="DP105" s="152"/>
      <c r="DQ105" s="152"/>
      <c r="DR105" s="152"/>
      <c r="DS105" s="152"/>
      <c r="DT105" s="152"/>
      <c r="DU105" s="152"/>
      <c r="DV105" s="152"/>
      <c r="DW105" s="152"/>
      <c r="DX105" s="152"/>
      <c r="DY105" s="152"/>
      <c r="DZ105" s="152"/>
      <c r="EA105" s="152"/>
      <c r="EB105" s="152"/>
      <c r="EC105" s="152"/>
      <c r="ED105" s="152"/>
      <c r="EE105" s="152"/>
      <c r="EF105" s="152"/>
      <c r="EG105" s="152"/>
      <c r="EH105" s="152"/>
      <c r="EI105" s="152"/>
      <c r="EJ105" s="152"/>
      <c r="EK105" s="152"/>
      <c r="EL105" s="152"/>
      <c r="EM105" s="152"/>
      <c r="EN105" s="152"/>
      <c r="EO105" s="152"/>
      <c r="EP105" s="152"/>
      <c r="EQ105" s="152"/>
      <c r="ER105" s="152"/>
      <c r="ES105" s="152"/>
      <c r="ET105" s="152"/>
      <c r="EU105" s="152"/>
      <c r="EV105" s="152"/>
      <c r="EW105" s="152"/>
      <c r="EX105" s="152"/>
      <c r="EY105" s="152"/>
      <c r="EZ105" s="152"/>
      <c r="FA105" s="152"/>
      <c r="FB105" s="152"/>
      <c r="FC105" s="152"/>
      <c r="FD105" s="152"/>
      <c r="FE105" s="152"/>
      <c r="FF105" s="152"/>
      <c r="FG105" s="152"/>
      <c r="FH105" s="152"/>
      <c r="FI105" s="152"/>
      <c r="FJ105" s="152"/>
      <c r="FK105" s="152"/>
      <c r="FL105" s="152"/>
      <c r="FM105" s="152"/>
      <c r="FN105" s="152"/>
      <c r="FO105" s="152"/>
      <c r="FP105" s="152"/>
      <c r="FQ105" s="152"/>
      <c r="FR105" s="152"/>
      <c r="FS105" s="152"/>
      <c r="FT105" s="152"/>
      <c r="FU105" s="152"/>
      <c r="FV105" s="152"/>
      <c r="FW105" s="152"/>
      <c r="FX105" s="152"/>
    </row>
    <row r="106" spans="1:180" s="150" customFormat="1" ht="30" customHeight="1" thickTop="1" thickBot="1" x14ac:dyDescent="0.3">
      <c r="A106" s="307" t="s">
        <v>2547</v>
      </c>
      <c r="B106" s="625" t="s">
        <v>2545</v>
      </c>
      <c r="C106" s="654"/>
      <c r="D106" s="418">
        <v>2</v>
      </c>
      <c r="E106" s="418">
        <v>30</v>
      </c>
      <c r="F106" s="418">
        <v>3</v>
      </c>
      <c r="G106" s="418">
        <v>540</v>
      </c>
      <c r="H106" s="213">
        <v>3600000</v>
      </c>
      <c r="I106" s="213">
        <f>700000*5</f>
        <v>3500000</v>
      </c>
      <c r="J106" s="416" t="s">
        <v>1039</v>
      </c>
      <c r="K106" s="418" t="s">
        <v>66</v>
      </c>
      <c r="L106" s="443">
        <v>5</v>
      </c>
      <c r="M106" s="443">
        <v>5</v>
      </c>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152"/>
      <c r="BW106" s="152"/>
      <c r="BX106" s="152"/>
      <c r="BY106" s="152"/>
      <c r="BZ106" s="152"/>
      <c r="CA106" s="152"/>
      <c r="CB106" s="152"/>
      <c r="CC106" s="152"/>
      <c r="CD106" s="152"/>
      <c r="CE106" s="152"/>
      <c r="CF106" s="152"/>
      <c r="CG106" s="152"/>
      <c r="CH106" s="152"/>
      <c r="CI106" s="152"/>
      <c r="CJ106" s="152"/>
      <c r="CK106" s="152"/>
      <c r="CL106" s="152"/>
      <c r="CM106" s="152"/>
      <c r="CN106" s="152"/>
      <c r="CO106" s="152"/>
      <c r="CP106" s="152"/>
      <c r="CQ106" s="152"/>
      <c r="CR106" s="152"/>
      <c r="CS106" s="152"/>
      <c r="CT106" s="152"/>
      <c r="CU106" s="152"/>
      <c r="CV106" s="152"/>
      <c r="CW106" s="152"/>
      <c r="CX106" s="152"/>
      <c r="CY106" s="152"/>
      <c r="CZ106" s="152"/>
      <c r="DA106" s="152"/>
      <c r="DB106" s="152"/>
      <c r="DC106" s="152"/>
      <c r="DD106" s="152"/>
      <c r="DE106" s="152"/>
      <c r="DF106" s="152"/>
      <c r="DG106" s="152"/>
      <c r="DH106" s="152"/>
      <c r="DI106" s="152"/>
      <c r="DJ106" s="152"/>
      <c r="DK106" s="152"/>
      <c r="DL106" s="152"/>
      <c r="DM106" s="152"/>
      <c r="DN106" s="152"/>
      <c r="DO106" s="152"/>
      <c r="DP106" s="152"/>
      <c r="DQ106" s="152"/>
      <c r="DR106" s="152"/>
      <c r="DS106" s="152"/>
      <c r="DT106" s="152"/>
      <c r="DU106" s="152"/>
      <c r="DV106" s="152"/>
      <c r="DW106" s="152"/>
      <c r="DX106" s="152"/>
      <c r="DY106" s="152"/>
      <c r="DZ106" s="152"/>
      <c r="EA106" s="152"/>
      <c r="EB106" s="152"/>
      <c r="EC106" s="152"/>
      <c r="ED106" s="152"/>
      <c r="EE106" s="152"/>
      <c r="EF106" s="152"/>
      <c r="EG106" s="152"/>
      <c r="EH106" s="152"/>
      <c r="EI106" s="152"/>
      <c r="EJ106" s="152"/>
      <c r="EK106" s="152"/>
      <c r="EL106" s="152"/>
      <c r="EM106" s="152"/>
      <c r="EN106" s="152"/>
      <c r="EO106" s="152"/>
      <c r="EP106" s="152"/>
      <c r="EQ106" s="152"/>
      <c r="ER106" s="152"/>
      <c r="ES106" s="152"/>
      <c r="ET106" s="152"/>
      <c r="EU106" s="152"/>
      <c r="EV106" s="152"/>
      <c r="EW106" s="152"/>
      <c r="EX106" s="152"/>
      <c r="EY106" s="152"/>
      <c r="EZ106" s="152"/>
      <c r="FA106" s="152"/>
      <c r="FB106" s="152"/>
      <c r="FC106" s="152"/>
      <c r="FD106" s="152"/>
      <c r="FE106" s="152"/>
      <c r="FF106" s="152"/>
      <c r="FG106" s="152"/>
      <c r="FH106" s="152"/>
      <c r="FI106" s="152"/>
      <c r="FJ106" s="152"/>
      <c r="FK106" s="152"/>
      <c r="FL106" s="152"/>
      <c r="FM106" s="152"/>
      <c r="FN106" s="152"/>
      <c r="FO106" s="152"/>
      <c r="FP106" s="152"/>
      <c r="FQ106" s="152"/>
      <c r="FR106" s="152"/>
      <c r="FS106" s="152"/>
      <c r="FT106" s="152"/>
      <c r="FU106" s="152"/>
      <c r="FV106" s="152"/>
      <c r="FW106" s="152"/>
      <c r="FX106" s="152"/>
    </row>
    <row r="107" spans="1:180" s="150" customFormat="1" ht="48.75" customHeight="1" thickTop="1" thickBot="1" x14ac:dyDescent="0.3">
      <c r="A107" s="307" t="s">
        <v>2547</v>
      </c>
      <c r="B107" s="625" t="s">
        <v>2545</v>
      </c>
      <c r="C107" s="413" t="s">
        <v>53</v>
      </c>
      <c r="D107" s="418">
        <v>2</v>
      </c>
      <c r="E107" s="418">
        <v>30</v>
      </c>
      <c r="F107" s="418">
        <v>3</v>
      </c>
      <c r="G107" s="418">
        <v>980</v>
      </c>
      <c r="H107" s="435">
        <v>99245825</v>
      </c>
      <c r="I107" s="435">
        <v>92259345</v>
      </c>
      <c r="J107" s="416" t="s">
        <v>1040</v>
      </c>
      <c r="K107" s="418" t="s">
        <v>16</v>
      </c>
      <c r="L107" s="418">
        <v>1</v>
      </c>
      <c r="M107" s="418">
        <v>1</v>
      </c>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c r="CG107" s="152"/>
      <c r="CH107" s="152"/>
      <c r="CI107" s="152"/>
      <c r="CJ107" s="152"/>
      <c r="CK107" s="152"/>
      <c r="CL107" s="152"/>
      <c r="CM107" s="152"/>
      <c r="CN107" s="152"/>
      <c r="CO107" s="152"/>
      <c r="CP107" s="152"/>
      <c r="CQ107" s="152"/>
      <c r="CR107" s="152"/>
      <c r="CS107" s="152"/>
      <c r="CT107" s="152"/>
      <c r="CU107" s="152"/>
      <c r="CV107" s="152"/>
      <c r="CW107" s="152"/>
      <c r="CX107" s="152"/>
      <c r="CY107" s="152"/>
      <c r="CZ107" s="152"/>
      <c r="DA107" s="152"/>
      <c r="DB107" s="152"/>
      <c r="DC107" s="152"/>
      <c r="DD107" s="152"/>
      <c r="DE107" s="152"/>
      <c r="DF107" s="152"/>
      <c r="DG107" s="152"/>
      <c r="DH107" s="152"/>
      <c r="DI107" s="152"/>
      <c r="DJ107" s="152"/>
      <c r="DK107" s="152"/>
      <c r="DL107" s="152"/>
      <c r="DM107" s="152"/>
      <c r="DN107" s="152"/>
      <c r="DO107" s="152"/>
      <c r="DP107" s="152"/>
      <c r="DQ107" s="152"/>
      <c r="DR107" s="152"/>
      <c r="DS107" s="152"/>
      <c r="DT107" s="152"/>
      <c r="DU107" s="152"/>
      <c r="DV107" s="152"/>
      <c r="DW107" s="152"/>
      <c r="DX107" s="152"/>
      <c r="DY107" s="152"/>
      <c r="DZ107" s="152"/>
      <c r="EA107" s="152"/>
      <c r="EB107" s="152"/>
      <c r="EC107" s="152"/>
      <c r="ED107" s="152"/>
      <c r="EE107" s="152"/>
      <c r="EF107" s="152"/>
      <c r="EG107" s="152"/>
      <c r="EH107" s="152"/>
      <c r="EI107" s="152"/>
      <c r="EJ107" s="152"/>
      <c r="EK107" s="152"/>
      <c r="EL107" s="152"/>
      <c r="EM107" s="152"/>
      <c r="EN107" s="152"/>
      <c r="EO107" s="152"/>
      <c r="EP107" s="152"/>
      <c r="EQ107" s="152"/>
      <c r="ER107" s="152"/>
      <c r="ES107" s="152"/>
      <c r="ET107" s="152"/>
      <c r="EU107" s="152"/>
      <c r="EV107" s="152"/>
      <c r="EW107" s="152"/>
      <c r="EX107" s="152"/>
      <c r="EY107" s="152"/>
      <c r="EZ107" s="152"/>
      <c r="FA107" s="152"/>
      <c r="FB107" s="152"/>
      <c r="FC107" s="152"/>
      <c r="FD107" s="152"/>
      <c r="FE107" s="152"/>
      <c r="FF107" s="152"/>
      <c r="FG107" s="152"/>
      <c r="FH107" s="152"/>
      <c r="FI107" s="152"/>
      <c r="FJ107" s="152"/>
      <c r="FK107" s="152"/>
      <c r="FL107" s="152"/>
      <c r="FM107" s="152"/>
      <c r="FN107" s="152"/>
      <c r="FO107" s="152"/>
      <c r="FP107" s="152"/>
      <c r="FQ107" s="152"/>
      <c r="FR107" s="152"/>
      <c r="FS107" s="152"/>
      <c r="FT107" s="152"/>
      <c r="FU107" s="152"/>
      <c r="FV107" s="152"/>
      <c r="FW107" s="152"/>
      <c r="FX107" s="152"/>
    </row>
    <row r="108" spans="1:180" s="153" customFormat="1" ht="15.75" customHeight="1" thickTop="1" thickBot="1" x14ac:dyDescent="0.3">
      <c r="A108" s="439"/>
      <c r="B108" s="475"/>
      <c r="C108" s="158"/>
      <c r="D108" s="165"/>
      <c r="E108" s="165"/>
      <c r="F108" s="165"/>
      <c r="G108" s="165"/>
      <c r="H108" s="165"/>
      <c r="I108" s="165"/>
      <c r="J108" s="165"/>
      <c r="K108" s="165"/>
      <c r="L108" s="165"/>
      <c r="M108" s="165"/>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52"/>
      <c r="CG108" s="152"/>
      <c r="CH108" s="152"/>
      <c r="CI108" s="152"/>
      <c r="CJ108" s="152"/>
      <c r="CK108" s="152"/>
      <c r="CL108" s="152"/>
      <c r="CM108" s="152"/>
      <c r="CN108" s="152"/>
      <c r="CO108" s="152"/>
      <c r="CP108" s="152"/>
      <c r="CQ108" s="152"/>
      <c r="CR108" s="152"/>
      <c r="CS108" s="152"/>
      <c r="CT108" s="152"/>
      <c r="CU108" s="152"/>
      <c r="CV108" s="152"/>
      <c r="CW108" s="152"/>
      <c r="CX108" s="152"/>
      <c r="CY108" s="152"/>
      <c r="CZ108" s="152"/>
      <c r="DA108" s="152"/>
      <c r="DB108" s="152"/>
      <c r="DC108" s="152"/>
      <c r="DD108" s="152"/>
      <c r="DE108" s="152"/>
      <c r="DF108" s="152"/>
      <c r="DG108" s="152"/>
      <c r="DH108" s="152"/>
      <c r="DI108" s="152"/>
      <c r="DJ108" s="152"/>
      <c r="DK108" s="152"/>
      <c r="DL108" s="152"/>
      <c r="DM108" s="152"/>
      <c r="DN108" s="152"/>
      <c r="DO108" s="152"/>
      <c r="DP108" s="152"/>
      <c r="DQ108" s="152"/>
      <c r="DR108" s="152"/>
      <c r="DS108" s="152"/>
      <c r="DT108" s="152"/>
      <c r="DU108" s="152"/>
      <c r="DV108" s="152"/>
      <c r="DW108" s="152"/>
      <c r="DX108" s="152"/>
      <c r="DY108" s="152"/>
      <c r="DZ108" s="152"/>
      <c r="EA108" s="152"/>
      <c r="EB108" s="152"/>
      <c r="EC108" s="152"/>
      <c r="ED108" s="152"/>
      <c r="EE108" s="152"/>
      <c r="EF108" s="152"/>
      <c r="EG108" s="152"/>
      <c r="EH108" s="152"/>
      <c r="EI108" s="152"/>
      <c r="EJ108" s="152"/>
      <c r="EK108" s="152"/>
      <c r="EL108" s="152"/>
      <c r="EM108" s="152"/>
      <c r="EN108" s="152"/>
      <c r="EO108" s="152"/>
      <c r="EP108" s="152"/>
      <c r="EQ108" s="152"/>
      <c r="ER108" s="152"/>
      <c r="ES108" s="152"/>
      <c r="ET108" s="152"/>
      <c r="EU108" s="152"/>
      <c r="EV108" s="152"/>
      <c r="EW108" s="152"/>
      <c r="EX108" s="152"/>
      <c r="EY108" s="152"/>
      <c r="EZ108" s="152"/>
      <c r="FA108" s="152"/>
      <c r="FB108" s="152"/>
      <c r="FC108" s="152"/>
      <c r="FD108" s="152"/>
      <c r="FE108" s="152"/>
      <c r="FF108" s="152"/>
      <c r="FG108" s="152"/>
      <c r="FH108" s="152"/>
      <c r="FI108" s="152"/>
      <c r="FJ108" s="152"/>
      <c r="FK108" s="152"/>
      <c r="FL108" s="152"/>
      <c r="FM108" s="152"/>
      <c r="FN108" s="152"/>
      <c r="FO108" s="152"/>
      <c r="FP108" s="152"/>
      <c r="FQ108" s="152"/>
      <c r="FR108" s="152"/>
      <c r="FS108" s="152"/>
      <c r="FT108" s="152"/>
      <c r="FU108" s="152"/>
      <c r="FV108" s="152"/>
      <c r="FW108" s="152"/>
      <c r="FX108" s="152"/>
    </row>
    <row r="109" spans="1:180" s="168" customFormat="1" ht="30" customHeight="1" thickTop="1" thickBot="1" x14ac:dyDescent="0.3">
      <c r="A109" s="639" t="s">
        <v>0</v>
      </c>
      <c r="B109" s="639" t="s">
        <v>1</v>
      </c>
      <c r="C109" s="639" t="s">
        <v>2569</v>
      </c>
      <c r="D109" s="636" t="s">
        <v>1961</v>
      </c>
      <c r="E109" s="637"/>
      <c r="F109" s="637"/>
      <c r="G109" s="638"/>
      <c r="H109" s="636" t="s">
        <v>3</v>
      </c>
      <c r="I109" s="637"/>
      <c r="J109" s="636" t="s">
        <v>1962</v>
      </c>
      <c r="K109" s="637"/>
      <c r="L109" s="637"/>
      <c r="M109" s="638"/>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row>
    <row r="110" spans="1:180" s="152" customFormat="1" ht="34.5" customHeight="1" thickTop="1" thickBot="1" x14ac:dyDescent="0.3">
      <c r="A110" s="661"/>
      <c r="B110" s="661"/>
      <c r="C110" s="661"/>
      <c r="D110" s="406" t="s">
        <v>4</v>
      </c>
      <c r="E110" s="406" t="s">
        <v>5</v>
      </c>
      <c r="F110" s="406" t="s">
        <v>6</v>
      </c>
      <c r="G110" s="406" t="s">
        <v>7</v>
      </c>
      <c r="H110" s="406" t="s">
        <v>2</v>
      </c>
      <c r="I110" s="406" t="s">
        <v>3</v>
      </c>
      <c r="J110" s="406" t="s">
        <v>8</v>
      </c>
      <c r="K110" s="406" t="s">
        <v>9</v>
      </c>
      <c r="L110" s="406" t="s">
        <v>1963</v>
      </c>
      <c r="M110" s="406" t="s">
        <v>1964</v>
      </c>
    </row>
    <row r="111" spans="1:180" s="150" customFormat="1" ht="39" customHeight="1" thickTop="1" thickBot="1" x14ac:dyDescent="0.3">
      <c r="A111" s="307" t="s">
        <v>1155</v>
      </c>
      <c r="B111" s="413" t="s">
        <v>2545</v>
      </c>
      <c r="C111" s="413" t="s">
        <v>18</v>
      </c>
      <c r="D111" s="413">
        <v>3</v>
      </c>
      <c r="E111" s="418">
        <v>30</v>
      </c>
      <c r="F111" s="413">
        <v>3</v>
      </c>
      <c r="G111" s="418">
        <v>848</v>
      </c>
      <c r="H111" s="435">
        <v>311578993</v>
      </c>
      <c r="I111" s="483">
        <v>130800000</v>
      </c>
      <c r="J111" s="416" t="s">
        <v>1041</v>
      </c>
      <c r="K111" s="418" t="s">
        <v>20</v>
      </c>
      <c r="L111" s="418">
        <v>200</v>
      </c>
      <c r="M111" s="418">
        <v>83</v>
      </c>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52"/>
      <c r="CG111" s="152"/>
      <c r="CH111" s="152"/>
      <c r="CI111" s="152"/>
      <c r="CJ111" s="152"/>
      <c r="CK111" s="152"/>
      <c r="CL111" s="152"/>
      <c r="CM111" s="152"/>
      <c r="CN111" s="152"/>
      <c r="CO111" s="152"/>
      <c r="CP111" s="152"/>
      <c r="CQ111" s="152"/>
      <c r="CR111" s="152"/>
      <c r="CS111" s="152"/>
      <c r="CT111" s="152"/>
      <c r="CU111" s="152"/>
      <c r="CV111" s="152"/>
      <c r="CW111" s="152"/>
      <c r="CX111" s="152"/>
      <c r="CY111" s="152"/>
      <c r="CZ111" s="152"/>
      <c r="DA111" s="152"/>
      <c r="DB111" s="152"/>
      <c r="DC111" s="152"/>
      <c r="DD111" s="152"/>
      <c r="DE111" s="152"/>
      <c r="DF111" s="152"/>
      <c r="DG111" s="152"/>
      <c r="DH111" s="152"/>
      <c r="DI111" s="152"/>
      <c r="DJ111" s="152"/>
      <c r="DK111" s="152"/>
      <c r="DL111" s="152"/>
      <c r="DM111" s="152"/>
      <c r="DN111" s="152"/>
      <c r="DO111" s="152"/>
      <c r="DP111" s="152"/>
      <c r="DQ111" s="152"/>
      <c r="DR111" s="152"/>
      <c r="DS111" s="152"/>
      <c r="DT111" s="152"/>
      <c r="DU111" s="152"/>
      <c r="DV111" s="152"/>
      <c r="DW111" s="152"/>
      <c r="DX111" s="152"/>
      <c r="DY111" s="152"/>
      <c r="DZ111" s="152"/>
      <c r="EA111" s="152"/>
      <c r="EB111" s="152"/>
      <c r="EC111" s="152"/>
      <c r="ED111" s="152"/>
      <c r="EE111" s="152"/>
      <c r="EF111" s="152"/>
      <c r="EG111" s="152"/>
      <c r="EH111" s="152"/>
      <c r="EI111" s="152"/>
      <c r="EJ111" s="152"/>
      <c r="EK111" s="152"/>
      <c r="EL111" s="152"/>
      <c r="EM111" s="152"/>
      <c r="EN111" s="152"/>
      <c r="EO111" s="152"/>
      <c r="EP111" s="152"/>
      <c r="EQ111" s="152"/>
      <c r="ER111" s="152"/>
      <c r="ES111" s="152"/>
      <c r="ET111" s="152"/>
      <c r="EU111" s="152"/>
      <c r="EV111" s="152"/>
      <c r="EW111" s="152"/>
      <c r="EX111" s="152"/>
      <c r="EY111" s="152"/>
      <c r="EZ111" s="152"/>
      <c r="FA111" s="152"/>
      <c r="FB111" s="152"/>
      <c r="FC111" s="152"/>
      <c r="FD111" s="152"/>
      <c r="FE111" s="152"/>
      <c r="FF111" s="152"/>
      <c r="FG111" s="152"/>
      <c r="FH111" s="152"/>
      <c r="FI111" s="152"/>
      <c r="FJ111" s="152"/>
      <c r="FK111" s="152"/>
      <c r="FL111" s="152"/>
      <c r="FM111" s="152"/>
      <c r="FN111" s="152"/>
      <c r="FO111" s="152"/>
      <c r="FP111" s="152"/>
      <c r="FQ111" s="152"/>
      <c r="FR111" s="152"/>
      <c r="FS111" s="152"/>
      <c r="FT111" s="152"/>
      <c r="FU111" s="152"/>
      <c r="FV111" s="152"/>
      <c r="FW111" s="152"/>
      <c r="FX111" s="152"/>
    </row>
    <row r="112" spans="1:180" s="150" customFormat="1" ht="27.75" customHeight="1" thickTop="1" thickBot="1" x14ac:dyDescent="0.3">
      <c r="A112" s="307" t="s">
        <v>1155</v>
      </c>
      <c r="B112" s="625" t="s">
        <v>2545</v>
      </c>
      <c r="C112" s="654" t="s">
        <v>90</v>
      </c>
      <c r="D112" s="478">
        <v>2</v>
      </c>
      <c r="E112" s="478">
        <v>30</v>
      </c>
      <c r="F112" s="478">
        <v>3</v>
      </c>
      <c r="G112" s="478">
        <v>520</v>
      </c>
      <c r="H112" s="483">
        <v>550000000</v>
      </c>
      <c r="I112" s="483">
        <v>310428208</v>
      </c>
      <c r="J112" s="426" t="s">
        <v>1042</v>
      </c>
      <c r="K112" s="418" t="s">
        <v>55</v>
      </c>
      <c r="L112" s="418">
        <v>5</v>
      </c>
      <c r="M112" s="478">
        <v>3</v>
      </c>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52"/>
      <c r="CG112" s="152"/>
      <c r="CH112" s="152"/>
      <c r="CI112" s="152"/>
      <c r="CJ112" s="152"/>
      <c r="CK112" s="152"/>
      <c r="CL112" s="152"/>
      <c r="CM112" s="152"/>
      <c r="CN112" s="152"/>
      <c r="CO112" s="152"/>
      <c r="CP112" s="152"/>
      <c r="CQ112" s="152"/>
      <c r="CR112" s="152"/>
      <c r="CS112" s="152"/>
      <c r="CT112" s="152"/>
      <c r="CU112" s="152"/>
      <c r="CV112" s="152"/>
      <c r="CW112" s="152"/>
      <c r="CX112" s="152"/>
      <c r="CY112" s="152"/>
      <c r="CZ112" s="152"/>
      <c r="DA112" s="152"/>
      <c r="DB112" s="152"/>
      <c r="DC112" s="152"/>
      <c r="DD112" s="152"/>
      <c r="DE112" s="152"/>
      <c r="DF112" s="152"/>
      <c r="DG112" s="152"/>
      <c r="DH112" s="152"/>
      <c r="DI112" s="152"/>
      <c r="DJ112" s="152"/>
      <c r="DK112" s="152"/>
      <c r="DL112" s="152"/>
      <c r="DM112" s="152"/>
      <c r="DN112" s="152"/>
      <c r="DO112" s="152"/>
      <c r="DP112" s="152"/>
      <c r="DQ112" s="152"/>
      <c r="DR112" s="152"/>
      <c r="DS112" s="152"/>
      <c r="DT112" s="152"/>
      <c r="DU112" s="152"/>
      <c r="DV112" s="152"/>
      <c r="DW112" s="152"/>
      <c r="DX112" s="152"/>
      <c r="DY112" s="152"/>
      <c r="DZ112" s="152"/>
      <c r="EA112" s="152"/>
      <c r="EB112" s="152"/>
      <c r="EC112" s="152"/>
      <c r="ED112" s="152"/>
      <c r="EE112" s="152"/>
      <c r="EF112" s="152"/>
      <c r="EG112" s="152"/>
      <c r="EH112" s="152"/>
      <c r="EI112" s="152"/>
      <c r="EJ112" s="152"/>
      <c r="EK112" s="152"/>
      <c r="EL112" s="152"/>
      <c r="EM112" s="152"/>
      <c r="EN112" s="152"/>
      <c r="EO112" s="152"/>
      <c r="EP112" s="152"/>
      <c r="EQ112" s="152"/>
      <c r="ER112" s="152"/>
      <c r="ES112" s="152"/>
      <c r="ET112" s="152"/>
      <c r="EU112" s="152"/>
      <c r="EV112" s="152"/>
      <c r="EW112" s="152"/>
      <c r="EX112" s="152"/>
      <c r="EY112" s="152"/>
      <c r="EZ112" s="152"/>
      <c r="FA112" s="152"/>
      <c r="FB112" s="152"/>
      <c r="FC112" s="152"/>
      <c r="FD112" s="152"/>
      <c r="FE112" s="152"/>
      <c r="FF112" s="152"/>
      <c r="FG112" s="152"/>
      <c r="FH112" s="152"/>
      <c r="FI112" s="152"/>
      <c r="FJ112" s="152"/>
      <c r="FK112" s="152"/>
      <c r="FL112" s="152"/>
      <c r="FM112" s="152"/>
      <c r="FN112" s="152"/>
      <c r="FO112" s="152"/>
      <c r="FP112" s="152"/>
      <c r="FQ112" s="152"/>
      <c r="FR112" s="152"/>
      <c r="FS112" s="152"/>
      <c r="FT112" s="152"/>
      <c r="FU112" s="152"/>
      <c r="FV112" s="152"/>
      <c r="FW112" s="152"/>
      <c r="FX112" s="152"/>
    </row>
    <row r="113" spans="1:180" s="150" customFormat="1" ht="32.25" customHeight="1" thickTop="1" thickBot="1" x14ac:dyDescent="0.3">
      <c r="A113" s="307" t="s">
        <v>1155</v>
      </c>
      <c r="B113" s="625" t="s">
        <v>2545</v>
      </c>
      <c r="C113" s="654"/>
      <c r="D113" s="478">
        <v>2</v>
      </c>
      <c r="E113" s="478">
        <v>30</v>
      </c>
      <c r="F113" s="478">
        <v>3</v>
      </c>
      <c r="G113" s="478">
        <v>520</v>
      </c>
      <c r="H113" s="483">
        <v>280000000</v>
      </c>
      <c r="I113" s="483">
        <f>137198637+136760335</f>
        <v>273958972</v>
      </c>
      <c r="J113" s="426" t="s">
        <v>1043</v>
      </c>
      <c r="K113" s="418" t="s">
        <v>410</v>
      </c>
      <c r="L113" s="418">
        <v>2</v>
      </c>
      <c r="M113" s="478">
        <v>2</v>
      </c>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52"/>
      <c r="CG113" s="152"/>
      <c r="CH113" s="152"/>
      <c r="CI113" s="152"/>
      <c r="CJ113" s="152"/>
      <c r="CK113" s="152"/>
      <c r="CL113" s="152"/>
      <c r="CM113" s="152"/>
      <c r="CN113" s="152"/>
      <c r="CO113" s="152"/>
      <c r="CP113" s="152"/>
      <c r="CQ113" s="152"/>
      <c r="CR113" s="152"/>
      <c r="CS113" s="152"/>
      <c r="CT113" s="152"/>
      <c r="CU113" s="152"/>
      <c r="CV113" s="152"/>
      <c r="CW113" s="152"/>
      <c r="CX113" s="152"/>
      <c r="CY113" s="152"/>
      <c r="CZ113" s="152"/>
      <c r="DA113" s="152"/>
      <c r="DB113" s="152"/>
      <c r="DC113" s="152"/>
      <c r="DD113" s="152"/>
      <c r="DE113" s="152"/>
      <c r="DF113" s="152"/>
      <c r="DG113" s="152"/>
      <c r="DH113" s="152"/>
      <c r="DI113" s="152"/>
      <c r="DJ113" s="152"/>
      <c r="DK113" s="152"/>
      <c r="DL113" s="152"/>
      <c r="DM113" s="152"/>
      <c r="DN113" s="152"/>
      <c r="DO113" s="152"/>
      <c r="DP113" s="152"/>
      <c r="DQ113" s="152"/>
      <c r="DR113" s="152"/>
      <c r="DS113" s="152"/>
      <c r="DT113" s="152"/>
      <c r="DU113" s="152"/>
      <c r="DV113" s="152"/>
      <c r="DW113" s="152"/>
      <c r="DX113" s="152"/>
      <c r="DY113" s="152"/>
      <c r="DZ113" s="152"/>
      <c r="EA113" s="152"/>
      <c r="EB113" s="152"/>
      <c r="EC113" s="152"/>
      <c r="ED113" s="152"/>
      <c r="EE113" s="152"/>
      <c r="EF113" s="152"/>
      <c r="EG113" s="152"/>
      <c r="EH113" s="152"/>
      <c r="EI113" s="152"/>
      <c r="EJ113" s="152"/>
      <c r="EK113" s="152"/>
      <c r="EL113" s="152"/>
      <c r="EM113" s="152"/>
      <c r="EN113" s="152"/>
      <c r="EO113" s="152"/>
      <c r="EP113" s="152"/>
      <c r="EQ113" s="152"/>
      <c r="ER113" s="152"/>
      <c r="ES113" s="152"/>
      <c r="ET113" s="152"/>
      <c r="EU113" s="152"/>
      <c r="EV113" s="152"/>
      <c r="EW113" s="152"/>
      <c r="EX113" s="152"/>
      <c r="EY113" s="152"/>
      <c r="EZ113" s="152"/>
      <c r="FA113" s="152"/>
      <c r="FB113" s="152"/>
      <c r="FC113" s="152"/>
      <c r="FD113" s="152"/>
      <c r="FE113" s="152"/>
      <c r="FF113" s="152"/>
      <c r="FG113" s="152"/>
      <c r="FH113" s="152"/>
      <c r="FI113" s="152"/>
      <c r="FJ113" s="152"/>
      <c r="FK113" s="152"/>
      <c r="FL113" s="152"/>
      <c r="FM113" s="152"/>
      <c r="FN113" s="152"/>
      <c r="FO113" s="152"/>
      <c r="FP113" s="152"/>
      <c r="FQ113" s="152"/>
      <c r="FR113" s="152"/>
      <c r="FS113" s="152"/>
      <c r="FT113" s="152"/>
      <c r="FU113" s="152"/>
      <c r="FV113" s="152"/>
      <c r="FW113" s="152"/>
      <c r="FX113" s="152"/>
    </row>
    <row r="114" spans="1:180" s="150" customFormat="1" ht="27.75" customHeight="1" thickTop="1" thickBot="1" x14ac:dyDescent="0.3">
      <c r="A114" s="307" t="s">
        <v>1155</v>
      </c>
      <c r="B114" s="625" t="s">
        <v>2545</v>
      </c>
      <c r="C114" s="654"/>
      <c r="D114" s="478">
        <v>2</v>
      </c>
      <c r="E114" s="478">
        <v>30</v>
      </c>
      <c r="F114" s="478">
        <v>3</v>
      </c>
      <c r="G114" s="478">
        <v>520</v>
      </c>
      <c r="H114" s="483">
        <v>380000000</v>
      </c>
      <c r="I114" s="483">
        <v>88340367</v>
      </c>
      <c r="J114" s="426" t="s">
        <v>1044</v>
      </c>
      <c r="K114" s="418" t="s">
        <v>25</v>
      </c>
      <c r="L114" s="418">
        <v>4</v>
      </c>
      <c r="M114" s="418">
        <v>1</v>
      </c>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152"/>
      <c r="CG114" s="152"/>
      <c r="CH114" s="152"/>
      <c r="CI114" s="152"/>
      <c r="CJ114" s="152"/>
      <c r="CK114" s="152"/>
      <c r="CL114" s="152"/>
      <c r="CM114" s="152"/>
      <c r="CN114" s="152"/>
      <c r="CO114" s="152"/>
      <c r="CP114" s="152"/>
      <c r="CQ114" s="152"/>
      <c r="CR114" s="152"/>
      <c r="CS114" s="152"/>
      <c r="CT114" s="152"/>
      <c r="CU114" s="152"/>
      <c r="CV114" s="152"/>
      <c r="CW114" s="152"/>
      <c r="CX114" s="152"/>
      <c r="CY114" s="152"/>
      <c r="CZ114" s="152"/>
      <c r="DA114" s="152"/>
      <c r="DB114" s="152"/>
      <c r="DC114" s="152"/>
      <c r="DD114" s="152"/>
      <c r="DE114" s="152"/>
      <c r="DF114" s="152"/>
      <c r="DG114" s="152"/>
      <c r="DH114" s="152"/>
      <c r="DI114" s="152"/>
      <c r="DJ114" s="152"/>
      <c r="DK114" s="152"/>
      <c r="DL114" s="152"/>
      <c r="DM114" s="152"/>
      <c r="DN114" s="152"/>
      <c r="DO114" s="152"/>
      <c r="DP114" s="152"/>
      <c r="DQ114" s="152"/>
      <c r="DR114" s="152"/>
      <c r="DS114" s="152"/>
      <c r="DT114" s="152"/>
      <c r="DU114" s="152"/>
      <c r="DV114" s="152"/>
      <c r="DW114" s="152"/>
      <c r="DX114" s="152"/>
      <c r="DY114" s="152"/>
      <c r="DZ114" s="152"/>
      <c r="EA114" s="152"/>
      <c r="EB114" s="152"/>
      <c r="EC114" s="152"/>
      <c r="ED114" s="152"/>
      <c r="EE114" s="152"/>
      <c r="EF114" s="152"/>
      <c r="EG114" s="152"/>
      <c r="EH114" s="152"/>
      <c r="EI114" s="152"/>
      <c r="EJ114" s="152"/>
      <c r="EK114" s="152"/>
      <c r="EL114" s="152"/>
      <c r="EM114" s="152"/>
      <c r="EN114" s="152"/>
      <c r="EO114" s="152"/>
      <c r="EP114" s="152"/>
      <c r="EQ114" s="152"/>
      <c r="ER114" s="152"/>
      <c r="ES114" s="152"/>
      <c r="ET114" s="152"/>
      <c r="EU114" s="152"/>
      <c r="EV114" s="152"/>
      <c r="EW114" s="152"/>
      <c r="EX114" s="152"/>
      <c r="EY114" s="152"/>
      <c r="EZ114" s="152"/>
      <c r="FA114" s="152"/>
      <c r="FB114" s="152"/>
      <c r="FC114" s="152"/>
      <c r="FD114" s="152"/>
      <c r="FE114" s="152"/>
      <c r="FF114" s="152"/>
      <c r="FG114" s="152"/>
      <c r="FH114" s="152"/>
      <c r="FI114" s="152"/>
      <c r="FJ114" s="152"/>
      <c r="FK114" s="152"/>
      <c r="FL114" s="152"/>
      <c r="FM114" s="152"/>
      <c r="FN114" s="152"/>
      <c r="FO114" s="152"/>
      <c r="FP114" s="152"/>
      <c r="FQ114" s="152"/>
      <c r="FR114" s="152"/>
      <c r="FS114" s="152"/>
      <c r="FT114" s="152"/>
      <c r="FU114" s="152"/>
      <c r="FV114" s="152"/>
      <c r="FW114" s="152"/>
      <c r="FX114" s="152"/>
    </row>
    <row r="115" spans="1:180" s="150" customFormat="1" ht="27.75" customHeight="1" thickTop="1" thickBot="1" x14ac:dyDescent="0.3">
      <c r="A115" s="307" t="s">
        <v>1155</v>
      </c>
      <c r="B115" s="625" t="s">
        <v>2545</v>
      </c>
      <c r="C115" s="654"/>
      <c r="D115" s="478">
        <v>2</v>
      </c>
      <c r="E115" s="478">
        <v>30</v>
      </c>
      <c r="F115" s="478">
        <v>3</v>
      </c>
      <c r="G115" s="478">
        <v>520</v>
      </c>
      <c r="H115" s="483">
        <f>105411392+250743385</f>
        <v>356154777</v>
      </c>
      <c r="I115" s="483">
        <v>0</v>
      </c>
      <c r="J115" s="426" t="s">
        <v>1045</v>
      </c>
      <c r="K115" s="418" t="s">
        <v>11</v>
      </c>
      <c r="L115" s="418">
        <v>8500</v>
      </c>
      <c r="M115" s="418">
        <v>0</v>
      </c>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52"/>
      <c r="CG115" s="152"/>
      <c r="CH115" s="152"/>
      <c r="CI115" s="152"/>
      <c r="CJ115" s="152"/>
      <c r="CK115" s="152"/>
      <c r="CL115" s="152"/>
      <c r="CM115" s="152"/>
      <c r="CN115" s="152"/>
      <c r="CO115" s="152"/>
      <c r="CP115" s="152"/>
      <c r="CQ115" s="152"/>
      <c r="CR115" s="152"/>
      <c r="CS115" s="152"/>
      <c r="CT115" s="152"/>
      <c r="CU115" s="152"/>
      <c r="CV115" s="152"/>
      <c r="CW115" s="152"/>
      <c r="CX115" s="152"/>
      <c r="CY115" s="152"/>
      <c r="CZ115" s="152"/>
      <c r="DA115" s="152"/>
      <c r="DB115" s="152"/>
      <c r="DC115" s="152"/>
      <c r="DD115" s="152"/>
      <c r="DE115" s="152"/>
      <c r="DF115" s="152"/>
      <c r="DG115" s="152"/>
      <c r="DH115" s="152"/>
      <c r="DI115" s="152"/>
      <c r="DJ115" s="152"/>
      <c r="DK115" s="152"/>
      <c r="DL115" s="152"/>
      <c r="DM115" s="152"/>
      <c r="DN115" s="152"/>
      <c r="DO115" s="152"/>
      <c r="DP115" s="152"/>
      <c r="DQ115" s="152"/>
      <c r="DR115" s="152"/>
      <c r="DS115" s="152"/>
      <c r="DT115" s="152"/>
      <c r="DU115" s="152"/>
      <c r="DV115" s="152"/>
      <c r="DW115" s="152"/>
      <c r="DX115" s="152"/>
      <c r="DY115" s="152"/>
      <c r="DZ115" s="152"/>
      <c r="EA115" s="152"/>
      <c r="EB115" s="152"/>
      <c r="EC115" s="152"/>
      <c r="ED115" s="152"/>
      <c r="EE115" s="152"/>
      <c r="EF115" s="152"/>
      <c r="EG115" s="152"/>
      <c r="EH115" s="152"/>
      <c r="EI115" s="152"/>
      <c r="EJ115" s="152"/>
      <c r="EK115" s="152"/>
      <c r="EL115" s="152"/>
      <c r="EM115" s="152"/>
      <c r="EN115" s="152"/>
      <c r="EO115" s="152"/>
      <c r="EP115" s="152"/>
      <c r="EQ115" s="152"/>
      <c r="ER115" s="152"/>
      <c r="ES115" s="152"/>
      <c r="ET115" s="152"/>
      <c r="EU115" s="152"/>
      <c r="EV115" s="152"/>
      <c r="EW115" s="152"/>
      <c r="EX115" s="152"/>
      <c r="EY115" s="152"/>
      <c r="EZ115" s="152"/>
      <c r="FA115" s="152"/>
      <c r="FB115" s="152"/>
      <c r="FC115" s="152"/>
      <c r="FD115" s="152"/>
      <c r="FE115" s="152"/>
      <c r="FF115" s="152"/>
      <c r="FG115" s="152"/>
      <c r="FH115" s="152"/>
      <c r="FI115" s="152"/>
      <c r="FJ115" s="152"/>
      <c r="FK115" s="152"/>
      <c r="FL115" s="152"/>
      <c r="FM115" s="152"/>
      <c r="FN115" s="152"/>
      <c r="FO115" s="152"/>
      <c r="FP115" s="152"/>
      <c r="FQ115" s="152"/>
      <c r="FR115" s="152"/>
      <c r="FS115" s="152"/>
      <c r="FT115" s="152"/>
      <c r="FU115" s="152"/>
      <c r="FV115" s="152"/>
      <c r="FW115" s="152"/>
      <c r="FX115" s="152"/>
    </row>
    <row r="116" spans="1:180" s="150" customFormat="1" ht="42" customHeight="1" thickTop="1" thickBot="1" x14ac:dyDescent="0.3">
      <c r="A116" s="307" t="s">
        <v>1155</v>
      </c>
      <c r="B116" s="625" t="s">
        <v>2545</v>
      </c>
      <c r="C116" s="413" t="s">
        <v>300</v>
      </c>
      <c r="D116" s="478">
        <v>2</v>
      </c>
      <c r="E116" s="478">
        <v>30</v>
      </c>
      <c r="F116" s="478">
        <v>3</v>
      </c>
      <c r="G116" s="478">
        <v>530</v>
      </c>
      <c r="H116" s="483">
        <v>35000000</v>
      </c>
      <c r="I116" s="483">
        <v>0</v>
      </c>
      <c r="J116" s="426" t="s">
        <v>1047</v>
      </c>
      <c r="K116" s="418" t="s">
        <v>17</v>
      </c>
      <c r="L116" s="418">
        <v>10</v>
      </c>
      <c r="M116" s="418">
        <v>0</v>
      </c>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52"/>
      <c r="CG116" s="152"/>
      <c r="CH116" s="152"/>
      <c r="CI116" s="152"/>
      <c r="CJ116" s="152"/>
      <c r="CK116" s="152"/>
      <c r="CL116" s="152"/>
      <c r="CM116" s="152"/>
      <c r="CN116" s="152"/>
      <c r="CO116" s="152"/>
      <c r="CP116" s="152"/>
      <c r="CQ116" s="152"/>
      <c r="CR116" s="152"/>
      <c r="CS116" s="152"/>
      <c r="CT116" s="152"/>
      <c r="CU116" s="152"/>
      <c r="CV116" s="152"/>
      <c r="CW116" s="152"/>
      <c r="CX116" s="152"/>
      <c r="CY116" s="152"/>
      <c r="CZ116" s="152"/>
      <c r="DA116" s="152"/>
      <c r="DB116" s="152"/>
      <c r="DC116" s="152"/>
      <c r="DD116" s="152"/>
      <c r="DE116" s="152"/>
      <c r="DF116" s="152"/>
      <c r="DG116" s="152"/>
      <c r="DH116" s="152"/>
      <c r="DI116" s="152"/>
      <c r="DJ116" s="152"/>
      <c r="DK116" s="152"/>
      <c r="DL116" s="152"/>
      <c r="DM116" s="152"/>
      <c r="DN116" s="152"/>
      <c r="DO116" s="152"/>
      <c r="DP116" s="152"/>
      <c r="DQ116" s="152"/>
      <c r="DR116" s="152"/>
      <c r="DS116" s="152"/>
      <c r="DT116" s="152"/>
      <c r="DU116" s="152"/>
      <c r="DV116" s="152"/>
      <c r="DW116" s="152"/>
      <c r="DX116" s="152"/>
      <c r="DY116" s="152"/>
      <c r="DZ116" s="152"/>
      <c r="EA116" s="152"/>
      <c r="EB116" s="152"/>
      <c r="EC116" s="152"/>
      <c r="ED116" s="152"/>
      <c r="EE116" s="152"/>
      <c r="EF116" s="152"/>
      <c r="EG116" s="152"/>
      <c r="EH116" s="152"/>
      <c r="EI116" s="152"/>
      <c r="EJ116" s="152"/>
      <c r="EK116" s="152"/>
      <c r="EL116" s="152"/>
      <c r="EM116" s="152"/>
      <c r="EN116" s="152"/>
      <c r="EO116" s="152"/>
      <c r="EP116" s="152"/>
      <c r="EQ116" s="152"/>
      <c r="ER116" s="152"/>
      <c r="ES116" s="152"/>
      <c r="ET116" s="152"/>
      <c r="EU116" s="152"/>
      <c r="EV116" s="152"/>
      <c r="EW116" s="152"/>
      <c r="EX116" s="152"/>
      <c r="EY116" s="152"/>
      <c r="EZ116" s="152"/>
      <c r="FA116" s="152"/>
      <c r="FB116" s="152"/>
      <c r="FC116" s="152"/>
      <c r="FD116" s="152"/>
      <c r="FE116" s="152"/>
      <c r="FF116" s="152"/>
      <c r="FG116" s="152"/>
      <c r="FH116" s="152"/>
      <c r="FI116" s="152"/>
      <c r="FJ116" s="152"/>
      <c r="FK116" s="152"/>
      <c r="FL116" s="152"/>
      <c r="FM116" s="152"/>
      <c r="FN116" s="152"/>
      <c r="FO116" s="152"/>
      <c r="FP116" s="152"/>
      <c r="FQ116" s="152"/>
      <c r="FR116" s="152"/>
      <c r="FS116" s="152"/>
      <c r="FT116" s="152"/>
      <c r="FU116" s="152"/>
      <c r="FV116" s="152"/>
      <c r="FW116" s="152"/>
      <c r="FX116" s="152"/>
    </row>
    <row r="117" spans="1:180" s="150" customFormat="1" ht="26.25" customHeight="1" thickTop="1" thickBot="1" x14ac:dyDescent="0.3">
      <c r="A117" s="307" t="s">
        <v>1155</v>
      </c>
      <c r="B117" s="625" t="s">
        <v>2545</v>
      </c>
      <c r="C117" s="651" t="s">
        <v>105</v>
      </c>
      <c r="D117" s="478">
        <v>2</v>
      </c>
      <c r="E117" s="478">
        <v>30</v>
      </c>
      <c r="F117" s="478">
        <v>3</v>
      </c>
      <c r="G117" s="478">
        <v>540</v>
      </c>
      <c r="H117" s="483">
        <v>42000000</v>
      </c>
      <c r="I117" s="483">
        <v>0</v>
      </c>
      <c r="J117" s="426" t="s">
        <v>1048</v>
      </c>
      <c r="K117" s="418" t="s">
        <v>46</v>
      </c>
      <c r="L117" s="418">
        <v>220</v>
      </c>
      <c r="M117" s="418">
        <v>0</v>
      </c>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52"/>
      <c r="CG117" s="152"/>
      <c r="CH117" s="152"/>
      <c r="CI117" s="152"/>
      <c r="CJ117" s="152"/>
      <c r="CK117" s="152"/>
      <c r="CL117" s="152"/>
      <c r="CM117" s="152"/>
      <c r="CN117" s="152"/>
      <c r="CO117" s="152"/>
      <c r="CP117" s="152"/>
      <c r="CQ117" s="152"/>
      <c r="CR117" s="152"/>
      <c r="CS117" s="152"/>
      <c r="CT117" s="152"/>
      <c r="CU117" s="152"/>
      <c r="CV117" s="152"/>
      <c r="CW117" s="152"/>
      <c r="CX117" s="152"/>
      <c r="CY117" s="152"/>
      <c r="CZ117" s="152"/>
      <c r="DA117" s="152"/>
      <c r="DB117" s="152"/>
      <c r="DC117" s="152"/>
      <c r="DD117" s="152"/>
      <c r="DE117" s="152"/>
      <c r="DF117" s="152"/>
      <c r="DG117" s="152"/>
      <c r="DH117" s="152"/>
      <c r="DI117" s="152"/>
      <c r="DJ117" s="152"/>
      <c r="DK117" s="152"/>
      <c r="DL117" s="152"/>
      <c r="DM117" s="152"/>
      <c r="DN117" s="152"/>
      <c r="DO117" s="152"/>
      <c r="DP117" s="152"/>
      <c r="DQ117" s="152"/>
      <c r="DR117" s="152"/>
      <c r="DS117" s="152"/>
      <c r="DT117" s="152"/>
      <c r="DU117" s="152"/>
      <c r="DV117" s="152"/>
      <c r="DW117" s="152"/>
      <c r="DX117" s="152"/>
      <c r="DY117" s="152"/>
      <c r="DZ117" s="152"/>
      <c r="EA117" s="152"/>
      <c r="EB117" s="152"/>
      <c r="EC117" s="152"/>
      <c r="ED117" s="152"/>
      <c r="EE117" s="152"/>
      <c r="EF117" s="152"/>
      <c r="EG117" s="152"/>
      <c r="EH117" s="152"/>
      <c r="EI117" s="152"/>
      <c r="EJ117" s="152"/>
      <c r="EK117" s="152"/>
      <c r="EL117" s="152"/>
      <c r="EM117" s="152"/>
      <c r="EN117" s="152"/>
      <c r="EO117" s="152"/>
      <c r="EP117" s="152"/>
      <c r="EQ117" s="152"/>
      <c r="ER117" s="152"/>
      <c r="ES117" s="152"/>
      <c r="ET117" s="152"/>
      <c r="EU117" s="152"/>
      <c r="EV117" s="152"/>
      <c r="EW117" s="152"/>
      <c r="EX117" s="152"/>
      <c r="EY117" s="152"/>
      <c r="EZ117" s="152"/>
      <c r="FA117" s="152"/>
      <c r="FB117" s="152"/>
      <c r="FC117" s="152"/>
      <c r="FD117" s="152"/>
      <c r="FE117" s="152"/>
      <c r="FF117" s="152"/>
      <c r="FG117" s="152"/>
      <c r="FH117" s="152"/>
      <c r="FI117" s="152"/>
      <c r="FJ117" s="152"/>
      <c r="FK117" s="152"/>
      <c r="FL117" s="152"/>
      <c r="FM117" s="152"/>
      <c r="FN117" s="152"/>
      <c r="FO117" s="152"/>
      <c r="FP117" s="152"/>
      <c r="FQ117" s="152"/>
      <c r="FR117" s="152"/>
      <c r="FS117" s="152"/>
      <c r="FT117" s="152"/>
      <c r="FU117" s="152"/>
      <c r="FV117" s="152"/>
      <c r="FW117" s="152"/>
      <c r="FX117" s="152"/>
    </row>
    <row r="118" spans="1:180" s="150" customFormat="1" ht="26.25" customHeight="1" thickTop="1" thickBot="1" x14ac:dyDescent="0.3">
      <c r="A118" s="307" t="s">
        <v>1155</v>
      </c>
      <c r="B118" s="625" t="s">
        <v>2545</v>
      </c>
      <c r="C118" s="653"/>
      <c r="D118" s="478">
        <v>2</v>
      </c>
      <c r="E118" s="478">
        <v>30</v>
      </c>
      <c r="F118" s="478">
        <v>3</v>
      </c>
      <c r="G118" s="478">
        <v>540</v>
      </c>
      <c r="H118" s="483">
        <v>42000000</v>
      </c>
      <c r="I118" s="483">
        <v>0</v>
      </c>
      <c r="J118" s="426" t="s">
        <v>1049</v>
      </c>
      <c r="K118" s="418" t="s">
        <v>44</v>
      </c>
      <c r="L118" s="418">
        <v>130</v>
      </c>
      <c r="M118" s="418">
        <v>0</v>
      </c>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c r="CG118" s="152"/>
      <c r="CH118" s="152"/>
      <c r="CI118" s="152"/>
      <c r="CJ118" s="152"/>
      <c r="CK118" s="152"/>
      <c r="CL118" s="152"/>
      <c r="CM118" s="152"/>
      <c r="CN118" s="152"/>
      <c r="CO118" s="152"/>
      <c r="CP118" s="152"/>
      <c r="CQ118" s="152"/>
      <c r="CR118" s="152"/>
      <c r="CS118" s="152"/>
      <c r="CT118" s="152"/>
      <c r="CU118" s="152"/>
      <c r="CV118" s="152"/>
      <c r="CW118" s="152"/>
      <c r="CX118" s="152"/>
      <c r="CY118" s="152"/>
      <c r="CZ118" s="152"/>
      <c r="DA118" s="152"/>
      <c r="DB118" s="152"/>
      <c r="DC118" s="152"/>
      <c r="DD118" s="152"/>
      <c r="DE118" s="152"/>
      <c r="DF118" s="152"/>
      <c r="DG118" s="152"/>
      <c r="DH118" s="152"/>
      <c r="DI118" s="152"/>
      <c r="DJ118" s="152"/>
      <c r="DK118" s="152"/>
      <c r="DL118" s="152"/>
      <c r="DM118" s="152"/>
      <c r="DN118" s="152"/>
      <c r="DO118" s="152"/>
      <c r="DP118" s="152"/>
      <c r="DQ118" s="152"/>
      <c r="DR118" s="152"/>
      <c r="DS118" s="152"/>
      <c r="DT118" s="152"/>
      <c r="DU118" s="152"/>
      <c r="DV118" s="152"/>
      <c r="DW118" s="152"/>
      <c r="DX118" s="152"/>
      <c r="DY118" s="152"/>
      <c r="DZ118" s="152"/>
      <c r="EA118" s="152"/>
      <c r="EB118" s="152"/>
      <c r="EC118" s="152"/>
      <c r="ED118" s="152"/>
      <c r="EE118" s="152"/>
      <c r="EF118" s="152"/>
      <c r="EG118" s="152"/>
      <c r="EH118" s="152"/>
      <c r="EI118" s="152"/>
      <c r="EJ118" s="152"/>
      <c r="EK118" s="152"/>
      <c r="EL118" s="152"/>
      <c r="EM118" s="152"/>
      <c r="EN118" s="152"/>
      <c r="EO118" s="152"/>
      <c r="EP118" s="152"/>
      <c r="EQ118" s="152"/>
      <c r="ER118" s="152"/>
      <c r="ES118" s="152"/>
      <c r="ET118" s="152"/>
      <c r="EU118" s="152"/>
      <c r="EV118" s="152"/>
      <c r="EW118" s="152"/>
      <c r="EX118" s="152"/>
      <c r="EY118" s="152"/>
      <c r="EZ118" s="152"/>
      <c r="FA118" s="152"/>
      <c r="FB118" s="152"/>
      <c r="FC118" s="152"/>
      <c r="FD118" s="152"/>
      <c r="FE118" s="152"/>
      <c r="FF118" s="152"/>
      <c r="FG118" s="152"/>
      <c r="FH118" s="152"/>
      <c r="FI118" s="152"/>
      <c r="FJ118" s="152"/>
      <c r="FK118" s="152"/>
      <c r="FL118" s="152"/>
      <c r="FM118" s="152"/>
      <c r="FN118" s="152"/>
      <c r="FO118" s="152"/>
      <c r="FP118" s="152"/>
      <c r="FQ118" s="152"/>
      <c r="FR118" s="152"/>
      <c r="FS118" s="152"/>
      <c r="FT118" s="152"/>
      <c r="FU118" s="152"/>
      <c r="FV118" s="152"/>
      <c r="FW118" s="152"/>
      <c r="FX118" s="152"/>
    </row>
    <row r="119" spans="1:180" s="153" customFormat="1" ht="14.25" customHeight="1" thickTop="1" thickBot="1" x14ac:dyDescent="0.3">
      <c r="A119" s="439"/>
      <c r="B119" s="475"/>
      <c r="C119" s="158"/>
      <c r="D119" s="471"/>
      <c r="E119" s="471"/>
      <c r="F119" s="471"/>
      <c r="G119" s="471"/>
      <c r="H119" s="471"/>
      <c r="I119" s="471"/>
      <c r="J119" s="158"/>
      <c r="K119" s="165"/>
      <c r="L119" s="165"/>
      <c r="M119" s="165"/>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52"/>
      <c r="CG119" s="152"/>
      <c r="CH119" s="152"/>
      <c r="CI119" s="152"/>
      <c r="CJ119" s="152"/>
      <c r="CK119" s="152"/>
      <c r="CL119" s="152"/>
      <c r="CM119" s="152"/>
      <c r="CN119" s="152"/>
      <c r="CO119" s="152"/>
      <c r="CP119" s="152"/>
      <c r="CQ119" s="152"/>
      <c r="CR119" s="152"/>
      <c r="CS119" s="152"/>
      <c r="CT119" s="152"/>
      <c r="CU119" s="152"/>
      <c r="CV119" s="152"/>
      <c r="CW119" s="152"/>
      <c r="CX119" s="152"/>
      <c r="CY119" s="152"/>
      <c r="CZ119" s="152"/>
      <c r="DA119" s="152"/>
      <c r="DB119" s="152"/>
      <c r="DC119" s="152"/>
      <c r="DD119" s="152"/>
      <c r="DE119" s="152"/>
      <c r="DF119" s="152"/>
      <c r="DG119" s="152"/>
      <c r="DH119" s="152"/>
      <c r="DI119" s="152"/>
      <c r="DJ119" s="152"/>
      <c r="DK119" s="152"/>
      <c r="DL119" s="152"/>
      <c r="DM119" s="152"/>
      <c r="DN119" s="152"/>
      <c r="DO119" s="152"/>
      <c r="DP119" s="152"/>
      <c r="DQ119" s="152"/>
      <c r="DR119" s="152"/>
      <c r="DS119" s="152"/>
      <c r="DT119" s="152"/>
      <c r="DU119" s="152"/>
      <c r="DV119" s="152"/>
      <c r="DW119" s="152"/>
      <c r="DX119" s="152"/>
      <c r="DY119" s="152"/>
      <c r="DZ119" s="152"/>
      <c r="EA119" s="152"/>
      <c r="EB119" s="152"/>
      <c r="EC119" s="152"/>
      <c r="ED119" s="152"/>
      <c r="EE119" s="152"/>
      <c r="EF119" s="152"/>
      <c r="EG119" s="152"/>
      <c r="EH119" s="152"/>
      <c r="EI119" s="152"/>
      <c r="EJ119" s="152"/>
      <c r="EK119" s="152"/>
      <c r="EL119" s="152"/>
      <c r="EM119" s="152"/>
      <c r="EN119" s="152"/>
      <c r="EO119" s="152"/>
      <c r="EP119" s="152"/>
      <c r="EQ119" s="152"/>
      <c r="ER119" s="152"/>
      <c r="ES119" s="152"/>
      <c r="ET119" s="152"/>
      <c r="EU119" s="152"/>
      <c r="EV119" s="152"/>
      <c r="EW119" s="152"/>
      <c r="EX119" s="152"/>
      <c r="EY119" s="152"/>
      <c r="EZ119" s="152"/>
      <c r="FA119" s="152"/>
      <c r="FB119" s="152"/>
      <c r="FC119" s="152"/>
      <c r="FD119" s="152"/>
      <c r="FE119" s="152"/>
      <c r="FF119" s="152"/>
      <c r="FG119" s="152"/>
      <c r="FH119" s="152"/>
      <c r="FI119" s="152"/>
      <c r="FJ119" s="152"/>
      <c r="FK119" s="152"/>
      <c r="FL119" s="152"/>
      <c r="FM119" s="152"/>
      <c r="FN119" s="152"/>
      <c r="FO119" s="152"/>
      <c r="FP119" s="152"/>
      <c r="FQ119" s="152"/>
      <c r="FR119" s="152"/>
      <c r="FS119" s="152"/>
      <c r="FT119" s="152"/>
      <c r="FU119" s="152"/>
      <c r="FV119" s="152"/>
      <c r="FW119" s="152"/>
      <c r="FX119" s="152"/>
    </row>
    <row r="120" spans="1:180" s="168" customFormat="1" ht="30" customHeight="1" thickTop="1" thickBot="1" x14ac:dyDescent="0.3">
      <c r="A120" s="639" t="s">
        <v>0</v>
      </c>
      <c r="B120" s="639" t="s">
        <v>1</v>
      </c>
      <c r="C120" s="639" t="s">
        <v>2569</v>
      </c>
      <c r="D120" s="636" t="s">
        <v>1961</v>
      </c>
      <c r="E120" s="637"/>
      <c r="F120" s="637"/>
      <c r="G120" s="638"/>
      <c r="H120" s="636" t="s">
        <v>3</v>
      </c>
      <c r="I120" s="637"/>
      <c r="J120" s="636" t="s">
        <v>1962</v>
      </c>
      <c r="K120" s="637"/>
      <c r="L120" s="637"/>
      <c r="M120" s="638"/>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row>
    <row r="121" spans="1:180" s="152" customFormat="1" ht="32.25" customHeight="1" thickTop="1" thickBot="1" x14ac:dyDescent="0.3">
      <c r="A121" s="661"/>
      <c r="B121" s="661"/>
      <c r="C121" s="661"/>
      <c r="D121" s="406" t="s">
        <v>4</v>
      </c>
      <c r="E121" s="406" t="s">
        <v>5</v>
      </c>
      <c r="F121" s="406" t="s">
        <v>6</v>
      </c>
      <c r="G121" s="406" t="s">
        <v>7</v>
      </c>
      <c r="H121" s="406" t="s">
        <v>2</v>
      </c>
      <c r="I121" s="406" t="s">
        <v>3</v>
      </c>
      <c r="J121" s="406" t="s">
        <v>8</v>
      </c>
      <c r="K121" s="406" t="s">
        <v>9</v>
      </c>
      <c r="L121" s="406" t="s">
        <v>1963</v>
      </c>
      <c r="M121" s="406" t="s">
        <v>1964</v>
      </c>
    </row>
    <row r="122" spans="1:180" s="150" customFormat="1" ht="50.25" customHeight="1" thickTop="1" thickBot="1" x14ac:dyDescent="0.3">
      <c r="A122" s="307" t="s">
        <v>2479</v>
      </c>
      <c r="B122" s="413" t="s">
        <v>2545</v>
      </c>
      <c r="C122" s="413" t="s">
        <v>18</v>
      </c>
      <c r="D122" s="418">
        <v>2</v>
      </c>
      <c r="E122" s="478">
        <v>30</v>
      </c>
      <c r="F122" s="478">
        <v>3</v>
      </c>
      <c r="G122" s="478">
        <v>848</v>
      </c>
      <c r="H122" s="483">
        <v>571518393</v>
      </c>
      <c r="I122" s="483">
        <v>239160000</v>
      </c>
      <c r="J122" s="426" t="s">
        <v>1050</v>
      </c>
      <c r="K122" s="418" t="s">
        <v>20</v>
      </c>
      <c r="L122" s="478">
        <v>120</v>
      </c>
      <c r="M122" s="478">
        <v>50</v>
      </c>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52"/>
      <c r="CG122" s="152"/>
      <c r="CH122" s="152"/>
      <c r="CI122" s="152"/>
      <c r="CJ122" s="152"/>
      <c r="CK122" s="152"/>
      <c r="CL122" s="152"/>
      <c r="CM122" s="152"/>
      <c r="CN122" s="152"/>
      <c r="CO122" s="152"/>
      <c r="CP122" s="152"/>
      <c r="CQ122" s="152"/>
      <c r="CR122" s="152"/>
      <c r="CS122" s="152"/>
      <c r="CT122" s="152"/>
      <c r="CU122" s="152"/>
      <c r="CV122" s="152"/>
      <c r="CW122" s="152"/>
      <c r="CX122" s="152"/>
      <c r="CY122" s="152"/>
      <c r="CZ122" s="152"/>
      <c r="DA122" s="152"/>
      <c r="DB122" s="152"/>
      <c r="DC122" s="152"/>
      <c r="DD122" s="152"/>
      <c r="DE122" s="152"/>
      <c r="DF122" s="152"/>
      <c r="DG122" s="152"/>
      <c r="DH122" s="152"/>
      <c r="DI122" s="152"/>
      <c r="DJ122" s="152"/>
      <c r="DK122" s="152"/>
      <c r="DL122" s="152"/>
      <c r="DM122" s="152"/>
      <c r="DN122" s="152"/>
      <c r="DO122" s="152"/>
      <c r="DP122" s="152"/>
      <c r="DQ122" s="152"/>
      <c r="DR122" s="152"/>
      <c r="DS122" s="152"/>
      <c r="DT122" s="152"/>
      <c r="DU122" s="152"/>
      <c r="DV122" s="152"/>
      <c r="DW122" s="152"/>
      <c r="DX122" s="152"/>
      <c r="DY122" s="152"/>
      <c r="DZ122" s="152"/>
      <c r="EA122" s="152"/>
      <c r="EB122" s="152"/>
      <c r="EC122" s="152"/>
      <c r="ED122" s="152"/>
      <c r="EE122" s="152"/>
      <c r="EF122" s="152"/>
      <c r="EG122" s="152"/>
      <c r="EH122" s="152"/>
      <c r="EI122" s="152"/>
      <c r="EJ122" s="152"/>
      <c r="EK122" s="152"/>
      <c r="EL122" s="152"/>
      <c r="EM122" s="152"/>
      <c r="EN122" s="152"/>
      <c r="EO122" s="152"/>
      <c r="EP122" s="152"/>
      <c r="EQ122" s="152"/>
      <c r="ER122" s="152"/>
      <c r="ES122" s="152"/>
      <c r="ET122" s="152"/>
      <c r="EU122" s="152"/>
      <c r="EV122" s="152"/>
      <c r="EW122" s="152"/>
      <c r="EX122" s="152"/>
      <c r="EY122" s="152"/>
      <c r="EZ122" s="152"/>
      <c r="FA122" s="152"/>
      <c r="FB122" s="152"/>
      <c r="FC122" s="152"/>
      <c r="FD122" s="152"/>
      <c r="FE122" s="152"/>
      <c r="FF122" s="152"/>
      <c r="FG122" s="152"/>
      <c r="FH122" s="152"/>
      <c r="FI122" s="152"/>
      <c r="FJ122" s="152"/>
      <c r="FK122" s="152"/>
      <c r="FL122" s="152"/>
      <c r="FM122" s="152"/>
      <c r="FN122" s="152"/>
      <c r="FO122" s="152"/>
      <c r="FP122" s="152"/>
      <c r="FQ122" s="152"/>
      <c r="FR122" s="152"/>
      <c r="FS122" s="152"/>
      <c r="FT122" s="152"/>
      <c r="FU122" s="152"/>
      <c r="FV122" s="152"/>
      <c r="FW122" s="152"/>
      <c r="FX122" s="152"/>
    </row>
    <row r="123" spans="1:180" s="150" customFormat="1" ht="27.75" customHeight="1" thickTop="1" thickBot="1" x14ac:dyDescent="0.3">
      <c r="A123" s="307" t="s">
        <v>2479</v>
      </c>
      <c r="B123" s="625" t="s">
        <v>2545</v>
      </c>
      <c r="C123" s="654" t="s">
        <v>1051</v>
      </c>
      <c r="D123" s="478">
        <v>2</v>
      </c>
      <c r="E123" s="478">
        <v>30</v>
      </c>
      <c r="F123" s="478">
        <v>3</v>
      </c>
      <c r="G123" s="478">
        <v>520</v>
      </c>
      <c r="H123" s="483">
        <f>423155294+186108606</f>
        <v>609263900</v>
      </c>
      <c r="I123" s="483">
        <f>52141177+44786138+149516526</f>
        <v>246443841</v>
      </c>
      <c r="J123" s="426" t="s">
        <v>1052</v>
      </c>
      <c r="K123" s="418" t="s">
        <v>55</v>
      </c>
      <c r="L123" s="418">
        <v>5</v>
      </c>
      <c r="M123" s="478">
        <v>2</v>
      </c>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52"/>
      <c r="CG123" s="152"/>
      <c r="CH123" s="152"/>
      <c r="CI123" s="152"/>
      <c r="CJ123" s="152"/>
      <c r="CK123" s="152"/>
      <c r="CL123" s="152"/>
      <c r="CM123" s="152"/>
      <c r="CN123" s="152"/>
      <c r="CO123" s="152"/>
      <c r="CP123" s="152"/>
      <c r="CQ123" s="152"/>
      <c r="CR123" s="152"/>
      <c r="CS123" s="152"/>
      <c r="CT123" s="152"/>
      <c r="CU123" s="152"/>
      <c r="CV123" s="152"/>
      <c r="CW123" s="152"/>
      <c r="CX123" s="152"/>
      <c r="CY123" s="152"/>
      <c r="CZ123" s="152"/>
      <c r="DA123" s="152"/>
      <c r="DB123" s="152"/>
      <c r="DC123" s="152"/>
      <c r="DD123" s="152"/>
      <c r="DE123" s="152"/>
      <c r="DF123" s="152"/>
      <c r="DG123" s="152"/>
      <c r="DH123" s="152"/>
      <c r="DI123" s="152"/>
      <c r="DJ123" s="152"/>
      <c r="DK123" s="152"/>
      <c r="DL123" s="152"/>
      <c r="DM123" s="152"/>
      <c r="DN123" s="152"/>
      <c r="DO123" s="152"/>
      <c r="DP123" s="152"/>
      <c r="DQ123" s="152"/>
      <c r="DR123" s="152"/>
      <c r="DS123" s="152"/>
      <c r="DT123" s="152"/>
      <c r="DU123" s="152"/>
      <c r="DV123" s="152"/>
      <c r="DW123" s="152"/>
      <c r="DX123" s="152"/>
      <c r="DY123" s="152"/>
      <c r="DZ123" s="152"/>
      <c r="EA123" s="152"/>
      <c r="EB123" s="152"/>
      <c r="EC123" s="152"/>
      <c r="ED123" s="152"/>
      <c r="EE123" s="152"/>
      <c r="EF123" s="152"/>
      <c r="EG123" s="152"/>
      <c r="EH123" s="152"/>
      <c r="EI123" s="152"/>
      <c r="EJ123" s="152"/>
      <c r="EK123" s="152"/>
      <c r="EL123" s="152"/>
      <c r="EM123" s="152"/>
      <c r="EN123" s="152"/>
      <c r="EO123" s="152"/>
      <c r="EP123" s="152"/>
      <c r="EQ123" s="152"/>
      <c r="ER123" s="152"/>
      <c r="ES123" s="152"/>
      <c r="ET123" s="152"/>
      <c r="EU123" s="152"/>
      <c r="EV123" s="152"/>
      <c r="EW123" s="152"/>
      <c r="EX123" s="152"/>
      <c r="EY123" s="152"/>
      <c r="EZ123" s="152"/>
      <c r="FA123" s="152"/>
      <c r="FB123" s="152"/>
      <c r="FC123" s="152"/>
      <c r="FD123" s="152"/>
      <c r="FE123" s="152"/>
      <c r="FF123" s="152"/>
      <c r="FG123" s="152"/>
      <c r="FH123" s="152"/>
      <c r="FI123" s="152"/>
      <c r="FJ123" s="152"/>
      <c r="FK123" s="152"/>
      <c r="FL123" s="152"/>
      <c r="FM123" s="152"/>
      <c r="FN123" s="152"/>
      <c r="FO123" s="152"/>
      <c r="FP123" s="152"/>
      <c r="FQ123" s="152"/>
      <c r="FR123" s="152"/>
      <c r="FS123" s="152"/>
      <c r="FT123" s="152"/>
      <c r="FU123" s="152"/>
      <c r="FV123" s="152"/>
      <c r="FW123" s="152"/>
      <c r="FX123" s="152"/>
    </row>
    <row r="124" spans="1:180" s="150" customFormat="1" ht="42.75" customHeight="1" thickTop="1" thickBot="1" x14ac:dyDescent="0.3">
      <c r="A124" s="307" t="s">
        <v>2479</v>
      </c>
      <c r="B124" s="625" t="s">
        <v>2545</v>
      </c>
      <c r="C124" s="654"/>
      <c r="D124" s="478">
        <v>2</v>
      </c>
      <c r="E124" s="478">
        <v>30</v>
      </c>
      <c r="F124" s="478">
        <v>3</v>
      </c>
      <c r="G124" s="478">
        <v>520</v>
      </c>
      <c r="H124" s="483">
        <v>150899500</v>
      </c>
      <c r="I124" s="483">
        <v>139468000</v>
      </c>
      <c r="J124" s="426" t="s">
        <v>1053</v>
      </c>
      <c r="K124" s="418" t="s">
        <v>55</v>
      </c>
      <c r="L124" s="418">
        <v>1</v>
      </c>
      <c r="M124" s="478">
        <v>1</v>
      </c>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152"/>
      <c r="BX124" s="152"/>
      <c r="BY124" s="152"/>
      <c r="BZ124" s="152"/>
      <c r="CA124" s="152"/>
      <c r="CB124" s="152"/>
      <c r="CC124" s="152"/>
      <c r="CD124" s="152"/>
      <c r="CE124" s="152"/>
      <c r="CF124" s="152"/>
      <c r="CG124" s="152"/>
      <c r="CH124" s="152"/>
      <c r="CI124" s="152"/>
      <c r="CJ124" s="152"/>
      <c r="CK124" s="152"/>
      <c r="CL124" s="152"/>
      <c r="CM124" s="152"/>
      <c r="CN124" s="152"/>
      <c r="CO124" s="152"/>
      <c r="CP124" s="152"/>
      <c r="CQ124" s="152"/>
      <c r="CR124" s="152"/>
      <c r="CS124" s="152"/>
      <c r="CT124" s="152"/>
      <c r="CU124" s="152"/>
      <c r="CV124" s="152"/>
      <c r="CW124" s="152"/>
      <c r="CX124" s="152"/>
      <c r="CY124" s="152"/>
      <c r="CZ124" s="152"/>
      <c r="DA124" s="152"/>
      <c r="DB124" s="152"/>
      <c r="DC124" s="152"/>
      <c r="DD124" s="152"/>
      <c r="DE124" s="152"/>
      <c r="DF124" s="152"/>
      <c r="DG124" s="152"/>
      <c r="DH124" s="152"/>
      <c r="DI124" s="152"/>
      <c r="DJ124" s="152"/>
      <c r="DK124" s="152"/>
      <c r="DL124" s="152"/>
      <c r="DM124" s="152"/>
      <c r="DN124" s="152"/>
      <c r="DO124" s="152"/>
      <c r="DP124" s="152"/>
      <c r="DQ124" s="152"/>
      <c r="DR124" s="152"/>
      <c r="DS124" s="152"/>
      <c r="DT124" s="152"/>
      <c r="DU124" s="152"/>
      <c r="DV124" s="152"/>
      <c r="DW124" s="152"/>
      <c r="DX124" s="152"/>
      <c r="DY124" s="152"/>
      <c r="DZ124" s="152"/>
      <c r="EA124" s="152"/>
      <c r="EB124" s="152"/>
      <c r="EC124" s="152"/>
      <c r="ED124" s="152"/>
      <c r="EE124" s="152"/>
      <c r="EF124" s="152"/>
      <c r="EG124" s="152"/>
      <c r="EH124" s="152"/>
      <c r="EI124" s="152"/>
      <c r="EJ124" s="152"/>
      <c r="EK124" s="152"/>
      <c r="EL124" s="152"/>
      <c r="EM124" s="152"/>
      <c r="EN124" s="152"/>
      <c r="EO124" s="152"/>
      <c r="EP124" s="152"/>
      <c r="EQ124" s="152"/>
      <c r="ER124" s="152"/>
      <c r="ES124" s="152"/>
      <c r="ET124" s="152"/>
      <c r="EU124" s="152"/>
      <c r="EV124" s="152"/>
      <c r="EW124" s="152"/>
      <c r="EX124" s="152"/>
      <c r="EY124" s="152"/>
      <c r="EZ124" s="152"/>
      <c r="FA124" s="152"/>
      <c r="FB124" s="152"/>
      <c r="FC124" s="152"/>
      <c r="FD124" s="152"/>
      <c r="FE124" s="152"/>
      <c r="FF124" s="152"/>
      <c r="FG124" s="152"/>
      <c r="FH124" s="152"/>
      <c r="FI124" s="152"/>
      <c r="FJ124" s="152"/>
      <c r="FK124" s="152"/>
      <c r="FL124" s="152"/>
      <c r="FM124" s="152"/>
      <c r="FN124" s="152"/>
      <c r="FO124" s="152"/>
      <c r="FP124" s="152"/>
      <c r="FQ124" s="152"/>
      <c r="FR124" s="152"/>
      <c r="FS124" s="152"/>
      <c r="FT124" s="152"/>
      <c r="FU124" s="152"/>
      <c r="FV124" s="152"/>
      <c r="FW124" s="152"/>
      <c r="FX124" s="152"/>
    </row>
    <row r="125" spans="1:180" s="150" customFormat="1" ht="27.75" customHeight="1" thickTop="1" thickBot="1" x14ac:dyDescent="0.3">
      <c r="A125" s="307" t="s">
        <v>2479</v>
      </c>
      <c r="B125" s="625" t="s">
        <v>2545</v>
      </c>
      <c r="C125" s="654"/>
      <c r="D125" s="478">
        <v>2</v>
      </c>
      <c r="E125" s="478">
        <v>30</v>
      </c>
      <c r="F125" s="478">
        <v>3</v>
      </c>
      <c r="G125" s="478">
        <v>520</v>
      </c>
      <c r="H125" s="483">
        <v>150646120</v>
      </c>
      <c r="I125" s="483">
        <v>128328067</v>
      </c>
      <c r="J125" s="426" t="s">
        <v>1054</v>
      </c>
      <c r="K125" s="418" t="s">
        <v>25</v>
      </c>
      <c r="L125" s="418">
        <v>3</v>
      </c>
      <c r="M125" s="478">
        <v>2</v>
      </c>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c r="CJ125" s="152"/>
      <c r="CK125" s="152"/>
      <c r="CL125" s="152"/>
      <c r="CM125" s="152"/>
      <c r="CN125" s="152"/>
      <c r="CO125" s="152"/>
      <c r="CP125" s="152"/>
      <c r="CQ125" s="152"/>
      <c r="CR125" s="152"/>
      <c r="CS125" s="152"/>
      <c r="CT125" s="152"/>
      <c r="CU125" s="152"/>
      <c r="CV125" s="152"/>
      <c r="CW125" s="152"/>
      <c r="CX125" s="152"/>
      <c r="CY125" s="152"/>
      <c r="CZ125" s="152"/>
      <c r="DA125" s="152"/>
      <c r="DB125" s="152"/>
      <c r="DC125" s="152"/>
      <c r="DD125" s="152"/>
      <c r="DE125" s="152"/>
      <c r="DF125" s="152"/>
      <c r="DG125" s="152"/>
      <c r="DH125" s="152"/>
      <c r="DI125" s="152"/>
      <c r="DJ125" s="152"/>
      <c r="DK125" s="152"/>
      <c r="DL125" s="152"/>
      <c r="DM125" s="152"/>
      <c r="DN125" s="152"/>
      <c r="DO125" s="152"/>
      <c r="DP125" s="152"/>
      <c r="DQ125" s="152"/>
      <c r="DR125" s="152"/>
      <c r="DS125" s="152"/>
      <c r="DT125" s="152"/>
      <c r="DU125" s="152"/>
      <c r="DV125" s="152"/>
      <c r="DW125" s="152"/>
      <c r="DX125" s="152"/>
      <c r="DY125" s="152"/>
      <c r="DZ125" s="152"/>
      <c r="EA125" s="152"/>
      <c r="EB125" s="152"/>
      <c r="EC125" s="152"/>
      <c r="ED125" s="152"/>
      <c r="EE125" s="152"/>
      <c r="EF125" s="152"/>
      <c r="EG125" s="152"/>
      <c r="EH125" s="152"/>
      <c r="EI125" s="152"/>
      <c r="EJ125" s="152"/>
      <c r="EK125" s="152"/>
      <c r="EL125" s="152"/>
      <c r="EM125" s="152"/>
      <c r="EN125" s="152"/>
      <c r="EO125" s="152"/>
      <c r="EP125" s="152"/>
      <c r="EQ125" s="152"/>
      <c r="ER125" s="152"/>
      <c r="ES125" s="152"/>
      <c r="ET125" s="152"/>
      <c r="EU125" s="152"/>
      <c r="EV125" s="152"/>
      <c r="EW125" s="152"/>
      <c r="EX125" s="152"/>
      <c r="EY125" s="152"/>
      <c r="EZ125" s="152"/>
      <c r="FA125" s="152"/>
      <c r="FB125" s="152"/>
      <c r="FC125" s="152"/>
      <c r="FD125" s="152"/>
      <c r="FE125" s="152"/>
      <c r="FF125" s="152"/>
      <c r="FG125" s="152"/>
      <c r="FH125" s="152"/>
      <c r="FI125" s="152"/>
      <c r="FJ125" s="152"/>
      <c r="FK125" s="152"/>
      <c r="FL125" s="152"/>
      <c r="FM125" s="152"/>
      <c r="FN125" s="152"/>
      <c r="FO125" s="152"/>
      <c r="FP125" s="152"/>
      <c r="FQ125" s="152"/>
      <c r="FR125" s="152"/>
      <c r="FS125" s="152"/>
      <c r="FT125" s="152"/>
      <c r="FU125" s="152"/>
      <c r="FV125" s="152"/>
      <c r="FW125" s="152"/>
      <c r="FX125" s="152"/>
    </row>
    <row r="126" spans="1:180" s="150" customFormat="1" ht="36.75" customHeight="1" thickTop="1" thickBot="1" x14ac:dyDescent="0.3">
      <c r="A126" s="307" t="s">
        <v>2479</v>
      </c>
      <c r="B126" s="625" t="s">
        <v>2545</v>
      </c>
      <c r="C126" s="413" t="s">
        <v>90</v>
      </c>
      <c r="D126" s="478">
        <v>2</v>
      </c>
      <c r="E126" s="478">
        <v>30</v>
      </c>
      <c r="F126" s="478">
        <v>3</v>
      </c>
      <c r="G126" s="478">
        <v>520</v>
      </c>
      <c r="H126" s="483">
        <v>166789957</v>
      </c>
      <c r="I126" s="483">
        <v>55090895</v>
      </c>
      <c r="J126" s="426" t="s">
        <v>1055</v>
      </c>
      <c r="K126" s="418" t="s">
        <v>11</v>
      </c>
      <c r="L126" s="418">
        <v>3700</v>
      </c>
      <c r="M126" s="418">
        <v>1220</v>
      </c>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c r="CF126" s="152"/>
      <c r="CG126" s="152"/>
      <c r="CH126" s="152"/>
      <c r="CI126" s="152"/>
      <c r="CJ126" s="152"/>
      <c r="CK126" s="152"/>
      <c r="CL126" s="152"/>
      <c r="CM126" s="152"/>
      <c r="CN126" s="152"/>
      <c r="CO126" s="152"/>
      <c r="CP126" s="152"/>
      <c r="CQ126" s="152"/>
      <c r="CR126" s="152"/>
      <c r="CS126" s="152"/>
      <c r="CT126" s="152"/>
      <c r="CU126" s="152"/>
      <c r="CV126" s="152"/>
      <c r="CW126" s="152"/>
      <c r="CX126" s="152"/>
      <c r="CY126" s="152"/>
      <c r="CZ126" s="152"/>
      <c r="DA126" s="152"/>
      <c r="DB126" s="152"/>
      <c r="DC126" s="152"/>
      <c r="DD126" s="152"/>
      <c r="DE126" s="152"/>
      <c r="DF126" s="152"/>
      <c r="DG126" s="152"/>
      <c r="DH126" s="152"/>
      <c r="DI126" s="152"/>
      <c r="DJ126" s="152"/>
      <c r="DK126" s="152"/>
      <c r="DL126" s="152"/>
      <c r="DM126" s="152"/>
      <c r="DN126" s="152"/>
      <c r="DO126" s="152"/>
      <c r="DP126" s="152"/>
      <c r="DQ126" s="152"/>
      <c r="DR126" s="152"/>
      <c r="DS126" s="152"/>
      <c r="DT126" s="152"/>
      <c r="DU126" s="152"/>
      <c r="DV126" s="152"/>
      <c r="DW126" s="152"/>
      <c r="DX126" s="152"/>
      <c r="DY126" s="152"/>
      <c r="DZ126" s="152"/>
      <c r="EA126" s="152"/>
      <c r="EB126" s="152"/>
      <c r="EC126" s="152"/>
      <c r="ED126" s="152"/>
      <c r="EE126" s="152"/>
      <c r="EF126" s="152"/>
      <c r="EG126" s="152"/>
      <c r="EH126" s="152"/>
      <c r="EI126" s="152"/>
      <c r="EJ126" s="152"/>
      <c r="EK126" s="152"/>
      <c r="EL126" s="152"/>
      <c r="EM126" s="152"/>
      <c r="EN126" s="152"/>
      <c r="EO126" s="152"/>
      <c r="EP126" s="152"/>
      <c r="EQ126" s="152"/>
      <c r="ER126" s="152"/>
      <c r="ES126" s="152"/>
      <c r="ET126" s="152"/>
      <c r="EU126" s="152"/>
      <c r="EV126" s="152"/>
      <c r="EW126" s="152"/>
      <c r="EX126" s="152"/>
      <c r="EY126" s="152"/>
      <c r="EZ126" s="152"/>
      <c r="FA126" s="152"/>
      <c r="FB126" s="152"/>
      <c r="FC126" s="152"/>
      <c r="FD126" s="152"/>
      <c r="FE126" s="152"/>
      <c r="FF126" s="152"/>
      <c r="FG126" s="152"/>
      <c r="FH126" s="152"/>
      <c r="FI126" s="152"/>
      <c r="FJ126" s="152"/>
      <c r="FK126" s="152"/>
      <c r="FL126" s="152"/>
      <c r="FM126" s="152"/>
      <c r="FN126" s="152"/>
      <c r="FO126" s="152"/>
      <c r="FP126" s="152"/>
      <c r="FQ126" s="152"/>
      <c r="FR126" s="152"/>
      <c r="FS126" s="152"/>
      <c r="FT126" s="152"/>
      <c r="FU126" s="152"/>
      <c r="FV126" s="152"/>
      <c r="FW126" s="152"/>
      <c r="FX126" s="152"/>
    </row>
    <row r="127" spans="1:180" s="150" customFormat="1" ht="30" customHeight="1" thickTop="1" thickBot="1" x14ac:dyDescent="0.3">
      <c r="A127" s="307" t="s">
        <v>2479</v>
      </c>
      <c r="B127" s="625" t="s">
        <v>2545</v>
      </c>
      <c r="C127" s="651" t="s">
        <v>2121</v>
      </c>
      <c r="D127" s="478">
        <v>2</v>
      </c>
      <c r="E127" s="478">
        <v>30</v>
      </c>
      <c r="F127" s="478">
        <v>3</v>
      </c>
      <c r="G127" s="478">
        <v>530</v>
      </c>
      <c r="H127" s="483">
        <f>54000000-2500000</f>
        <v>51500000</v>
      </c>
      <c r="I127" s="483">
        <v>48875000</v>
      </c>
      <c r="J127" s="426" t="s">
        <v>1056</v>
      </c>
      <c r="K127" s="418" t="s">
        <v>17</v>
      </c>
      <c r="L127" s="418">
        <v>15</v>
      </c>
      <c r="M127" s="418">
        <v>15</v>
      </c>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52"/>
      <c r="CG127" s="152"/>
      <c r="CH127" s="152"/>
      <c r="CI127" s="152"/>
      <c r="CJ127" s="152"/>
      <c r="CK127" s="152"/>
      <c r="CL127" s="152"/>
      <c r="CM127" s="152"/>
      <c r="CN127" s="152"/>
      <c r="CO127" s="152"/>
      <c r="CP127" s="152"/>
      <c r="CQ127" s="152"/>
      <c r="CR127" s="152"/>
      <c r="CS127" s="152"/>
      <c r="CT127" s="152"/>
      <c r="CU127" s="152"/>
      <c r="CV127" s="152"/>
      <c r="CW127" s="152"/>
      <c r="CX127" s="152"/>
      <c r="CY127" s="152"/>
      <c r="CZ127" s="152"/>
      <c r="DA127" s="152"/>
      <c r="DB127" s="152"/>
      <c r="DC127" s="152"/>
      <c r="DD127" s="152"/>
      <c r="DE127" s="152"/>
      <c r="DF127" s="152"/>
      <c r="DG127" s="152"/>
      <c r="DH127" s="152"/>
      <c r="DI127" s="152"/>
      <c r="DJ127" s="152"/>
      <c r="DK127" s="152"/>
      <c r="DL127" s="152"/>
      <c r="DM127" s="152"/>
      <c r="DN127" s="152"/>
      <c r="DO127" s="152"/>
      <c r="DP127" s="152"/>
      <c r="DQ127" s="152"/>
      <c r="DR127" s="152"/>
      <c r="DS127" s="152"/>
      <c r="DT127" s="152"/>
      <c r="DU127" s="152"/>
      <c r="DV127" s="152"/>
      <c r="DW127" s="152"/>
      <c r="DX127" s="152"/>
      <c r="DY127" s="152"/>
      <c r="DZ127" s="152"/>
      <c r="EA127" s="152"/>
      <c r="EB127" s="152"/>
      <c r="EC127" s="152"/>
      <c r="ED127" s="152"/>
      <c r="EE127" s="152"/>
      <c r="EF127" s="152"/>
      <c r="EG127" s="152"/>
      <c r="EH127" s="152"/>
      <c r="EI127" s="152"/>
      <c r="EJ127" s="152"/>
      <c r="EK127" s="152"/>
      <c r="EL127" s="152"/>
      <c r="EM127" s="152"/>
      <c r="EN127" s="152"/>
      <c r="EO127" s="152"/>
      <c r="EP127" s="152"/>
      <c r="EQ127" s="152"/>
      <c r="ER127" s="152"/>
      <c r="ES127" s="152"/>
      <c r="ET127" s="152"/>
      <c r="EU127" s="152"/>
      <c r="EV127" s="152"/>
      <c r="EW127" s="152"/>
      <c r="EX127" s="152"/>
      <c r="EY127" s="152"/>
      <c r="EZ127" s="152"/>
      <c r="FA127" s="152"/>
      <c r="FB127" s="152"/>
      <c r="FC127" s="152"/>
      <c r="FD127" s="152"/>
      <c r="FE127" s="152"/>
      <c r="FF127" s="152"/>
      <c r="FG127" s="152"/>
      <c r="FH127" s="152"/>
      <c r="FI127" s="152"/>
      <c r="FJ127" s="152"/>
      <c r="FK127" s="152"/>
      <c r="FL127" s="152"/>
      <c r="FM127" s="152"/>
      <c r="FN127" s="152"/>
      <c r="FO127" s="152"/>
      <c r="FP127" s="152"/>
      <c r="FQ127" s="152"/>
      <c r="FR127" s="152"/>
      <c r="FS127" s="152"/>
      <c r="FT127" s="152"/>
      <c r="FU127" s="152"/>
      <c r="FV127" s="152"/>
      <c r="FW127" s="152"/>
      <c r="FX127" s="152"/>
    </row>
    <row r="128" spans="1:180" s="150" customFormat="1" ht="30" customHeight="1" thickTop="1" thickBot="1" x14ac:dyDescent="0.3">
      <c r="A128" s="307" t="s">
        <v>2479</v>
      </c>
      <c r="B128" s="625" t="s">
        <v>2545</v>
      </c>
      <c r="C128" s="652"/>
      <c r="D128" s="478">
        <v>2</v>
      </c>
      <c r="E128" s="478">
        <v>30</v>
      </c>
      <c r="F128" s="478">
        <v>3</v>
      </c>
      <c r="G128" s="478">
        <v>530</v>
      </c>
      <c r="H128" s="483">
        <v>12500000</v>
      </c>
      <c r="I128" s="483">
        <v>12100000</v>
      </c>
      <c r="J128" s="426" t="s">
        <v>1057</v>
      </c>
      <c r="K128" s="418" t="s">
        <v>17</v>
      </c>
      <c r="L128" s="418">
        <v>4</v>
      </c>
      <c r="M128" s="418">
        <v>4</v>
      </c>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52"/>
      <c r="CG128" s="152"/>
      <c r="CH128" s="152"/>
      <c r="CI128" s="152"/>
      <c r="CJ128" s="152"/>
      <c r="CK128" s="152"/>
      <c r="CL128" s="152"/>
      <c r="CM128" s="152"/>
      <c r="CN128" s="152"/>
      <c r="CO128" s="152"/>
      <c r="CP128" s="152"/>
      <c r="CQ128" s="152"/>
      <c r="CR128" s="152"/>
      <c r="CS128" s="152"/>
      <c r="CT128" s="152"/>
      <c r="CU128" s="152"/>
      <c r="CV128" s="152"/>
      <c r="CW128" s="152"/>
      <c r="CX128" s="152"/>
      <c r="CY128" s="152"/>
      <c r="CZ128" s="152"/>
      <c r="DA128" s="152"/>
      <c r="DB128" s="152"/>
      <c r="DC128" s="152"/>
      <c r="DD128" s="152"/>
      <c r="DE128" s="152"/>
      <c r="DF128" s="152"/>
      <c r="DG128" s="152"/>
      <c r="DH128" s="152"/>
      <c r="DI128" s="152"/>
      <c r="DJ128" s="152"/>
      <c r="DK128" s="152"/>
      <c r="DL128" s="152"/>
      <c r="DM128" s="152"/>
      <c r="DN128" s="152"/>
      <c r="DO128" s="152"/>
      <c r="DP128" s="152"/>
      <c r="DQ128" s="152"/>
      <c r="DR128" s="152"/>
      <c r="DS128" s="152"/>
      <c r="DT128" s="152"/>
      <c r="DU128" s="152"/>
      <c r="DV128" s="152"/>
      <c r="DW128" s="152"/>
      <c r="DX128" s="152"/>
      <c r="DY128" s="152"/>
      <c r="DZ128" s="152"/>
      <c r="EA128" s="152"/>
      <c r="EB128" s="152"/>
      <c r="EC128" s="152"/>
      <c r="ED128" s="152"/>
      <c r="EE128" s="152"/>
      <c r="EF128" s="152"/>
      <c r="EG128" s="152"/>
      <c r="EH128" s="152"/>
      <c r="EI128" s="152"/>
      <c r="EJ128" s="152"/>
      <c r="EK128" s="152"/>
      <c r="EL128" s="152"/>
      <c r="EM128" s="152"/>
      <c r="EN128" s="152"/>
      <c r="EO128" s="152"/>
      <c r="EP128" s="152"/>
      <c r="EQ128" s="152"/>
      <c r="ER128" s="152"/>
      <c r="ES128" s="152"/>
      <c r="ET128" s="152"/>
      <c r="EU128" s="152"/>
      <c r="EV128" s="152"/>
      <c r="EW128" s="152"/>
      <c r="EX128" s="152"/>
      <c r="EY128" s="152"/>
      <c r="EZ128" s="152"/>
      <c r="FA128" s="152"/>
      <c r="FB128" s="152"/>
      <c r="FC128" s="152"/>
      <c r="FD128" s="152"/>
      <c r="FE128" s="152"/>
      <c r="FF128" s="152"/>
      <c r="FG128" s="152"/>
      <c r="FH128" s="152"/>
      <c r="FI128" s="152"/>
      <c r="FJ128" s="152"/>
      <c r="FK128" s="152"/>
      <c r="FL128" s="152"/>
      <c r="FM128" s="152"/>
      <c r="FN128" s="152"/>
      <c r="FO128" s="152"/>
      <c r="FP128" s="152"/>
      <c r="FQ128" s="152"/>
      <c r="FR128" s="152"/>
      <c r="FS128" s="152"/>
      <c r="FT128" s="152"/>
      <c r="FU128" s="152"/>
      <c r="FV128" s="152"/>
      <c r="FW128" s="152"/>
      <c r="FX128" s="152"/>
    </row>
    <row r="129" spans="1:180" s="150" customFormat="1" ht="30" customHeight="1" thickTop="1" thickBot="1" x14ac:dyDescent="0.3">
      <c r="A129" s="307" t="s">
        <v>2479</v>
      </c>
      <c r="B129" s="625" t="s">
        <v>2545</v>
      </c>
      <c r="C129" s="652"/>
      <c r="D129" s="478">
        <v>2</v>
      </c>
      <c r="E129" s="478">
        <v>30</v>
      </c>
      <c r="F129" s="478">
        <v>3</v>
      </c>
      <c r="G129" s="478">
        <v>530</v>
      </c>
      <c r="H129" s="483">
        <v>7000000</v>
      </c>
      <c r="I129" s="483">
        <v>6890000</v>
      </c>
      <c r="J129" s="426" t="s">
        <v>1058</v>
      </c>
      <c r="K129" s="418" t="s">
        <v>17</v>
      </c>
      <c r="L129" s="418">
        <v>1</v>
      </c>
      <c r="M129" s="418">
        <v>1</v>
      </c>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52"/>
      <c r="CG129" s="152"/>
      <c r="CH129" s="152"/>
      <c r="CI129" s="152"/>
      <c r="CJ129" s="152"/>
      <c r="CK129" s="152"/>
      <c r="CL129" s="152"/>
      <c r="CM129" s="152"/>
      <c r="CN129" s="152"/>
      <c r="CO129" s="152"/>
      <c r="CP129" s="152"/>
      <c r="CQ129" s="152"/>
      <c r="CR129" s="152"/>
      <c r="CS129" s="152"/>
      <c r="CT129" s="152"/>
      <c r="CU129" s="152"/>
      <c r="CV129" s="152"/>
      <c r="CW129" s="152"/>
      <c r="CX129" s="152"/>
      <c r="CY129" s="152"/>
      <c r="CZ129" s="152"/>
      <c r="DA129" s="152"/>
      <c r="DB129" s="152"/>
      <c r="DC129" s="152"/>
      <c r="DD129" s="152"/>
      <c r="DE129" s="152"/>
      <c r="DF129" s="152"/>
      <c r="DG129" s="152"/>
      <c r="DH129" s="152"/>
      <c r="DI129" s="152"/>
      <c r="DJ129" s="152"/>
      <c r="DK129" s="152"/>
      <c r="DL129" s="152"/>
      <c r="DM129" s="152"/>
      <c r="DN129" s="152"/>
      <c r="DO129" s="152"/>
      <c r="DP129" s="152"/>
      <c r="DQ129" s="152"/>
      <c r="DR129" s="152"/>
      <c r="DS129" s="152"/>
      <c r="DT129" s="152"/>
      <c r="DU129" s="152"/>
      <c r="DV129" s="152"/>
      <c r="DW129" s="152"/>
      <c r="DX129" s="152"/>
      <c r="DY129" s="152"/>
      <c r="DZ129" s="152"/>
      <c r="EA129" s="152"/>
      <c r="EB129" s="152"/>
      <c r="EC129" s="152"/>
      <c r="ED129" s="152"/>
      <c r="EE129" s="152"/>
      <c r="EF129" s="152"/>
      <c r="EG129" s="152"/>
      <c r="EH129" s="152"/>
      <c r="EI129" s="152"/>
      <c r="EJ129" s="152"/>
      <c r="EK129" s="152"/>
      <c r="EL129" s="152"/>
      <c r="EM129" s="152"/>
      <c r="EN129" s="152"/>
      <c r="EO129" s="152"/>
      <c r="EP129" s="152"/>
      <c r="EQ129" s="152"/>
      <c r="ER129" s="152"/>
      <c r="ES129" s="152"/>
      <c r="ET129" s="152"/>
      <c r="EU129" s="152"/>
      <c r="EV129" s="152"/>
      <c r="EW129" s="152"/>
      <c r="EX129" s="152"/>
      <c r="EY129" s="152"/>
      <c r="EZ129" s="152"/>
      <c r="FA129" s="152"/>
      <c r="FB129" s="152"/>
      <c r="FC129" s="152"/>
      <c r="FD129" s="152"/>
      <c r="FE129" s="152"/>
      <c r="FF129" s="152"/>
      <c r="FG129" s="152"/>
      <c r="FH129" s="152"/>
      <c r="FI129" s="152"/>
      <c r="FJ129" s="152"/>
      <c r="FK129" s="152"/>
      <c r="FL129" s="152"/>
      <c r="FM129" s="152"/>
      <c r="FN129" s="152"/>
      <c r="FO129" s="152"/>
      <c r="FP129" s="152"/>
      <c r="FQ129" s="152"/>
      <c r="FR129" s="152"/>
      <c r="FS129" s="152"/>
      <c r="FT129" s="152"/>
      <c r="FU129" s="152"/>
      <c r="FV129" s="152"/>
      <c r="FW129" s="152"/>
      <c r="FX129" s="152"/>
    </row>
    <row r="130" spans="1:180" s="150" customFormat="1" ht="30" customHeight="1" thickTop="1" thickBot="1" x14ac:dyDescent="0.3">
      <c r="A130" s="307" t="s">
        <v>2479</v>
      </c>
      <c r="B130" s="625" t="s">
        <v>2545</v>
      </c>
      <c r="C130" s="652"/>
      <c r="D130" s="478">
        <v>2</v>
      </c>
      <c r="E130" s="478">
        <v>30</v>
      </c>
      <c r="F130" s="478">
        <v>3</v>
      </c>
      <c r="G130" s="478">
        <v>540</v>
      </c>
      <c r="H130" s="483">
        <f>15000000-2500000</f>
        <v>12500000</v>
      </c>
      <c r="I130" s="483">
        <v>0</v>
      </c>
      <c r="J130" s="426" t="s">
        <v>1059</v>
      </c>
      <c r="K130" s="418" t="s">
        <v>17</v>
      </c>
      <c r="L130" s="418">
        <v>10</v>
      </c>
      <c r="M130" s="418">
        <v>0</v>
      </c>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52"/>
      <c r="CG130" s="152"/>
      <c r="CH130" s="152"/>
      <c r="CI130" s="152"/>
      <c r="CJ130" s="152"/>
      <c r="CK130" s="152"/>
      <c r="CL130" s="152"/>
      <c r="CM130" s="152"/>
      <c r="CN130" s="152"/>
      <c r="CO130" s="152"/>
      <c r="CP130" s="152"/>
      <c r="CQ130" s="152"/>
      <c r="CR130" s="152"/>
      <c r="CS130" s="152"/>
      <c r="CT130" s="152"/>
      <c r="CU130" s="152"/>
      <c r="CV130" s="152"/>
      <c r="CW130" s="152"/>
      <c r="CX130" s="152"/>
      <c r="CY130" s="152"/>
      <c r="CZ130" s="152"/>
      <c r="DA130" s="152"/>
      <c r="DB130" s="152"/>
      <c r="DC130" s="152"/>
      <c r="DD130" s="152"/>
      <c r="DE130" s="152"/>
      <c r="DF130" s="152"/>
      <c r="DG130" s="152"/>
      <c r="DH130" s="152"/>
      <c r="DI130" s="152"/>
      <c r="DJ130" s="152"/>
      <c r="DK130" s="152"/>
      <c r="DL130" s="152"/>
      <c r="DM130" s="152"/>
      <c r="DN130" s="152"/>
      <c r="DO130" s="152"/>
      <c r="DP130" s="152"/>
      <c r="DQ130" s="152"/>
      <c r="DR130" s="152"/>
      <c r="DS130" s="152"/>
      <c r="DT130" s="152"/>
      <c r="DU130" s="152"/>
      <c r="DV130" s="152"/>
      <c r="DW130" s="152"/>
      <c r="DX130" s="152"/>
      <c r="DY130" s="152"/>
      <c r="DZ130" s="152"/>
      <c r="EA130" s="152"/>
      <c r="EB130" s="152"/>
      <c r="EC130" s="152"/>
      <c r="ED130" s="152"/>
      <c r="EE130" s="152"/>
      <c r="EF130" s="152"/>
      <c r="EG130" s="152"/>
      <c r="EH130" s="152"/>
      <c r="EI130" s="152"/>
      <c r="EJ130" s="152"/>
      <c r="EK130" s="152"/>
      <c r="EL130" s="152"/>
      <c r="EM130" s="152"/>
      <c r="EN130" s="152"/>
      <c r="EO130" s="152"/>
      <c r="EP130" s="152"/>
      <c r="EQ130" s="152"/>
      <c r="ER130" s="152"/>
      <c r="ES130" s="152"/>
      <c r="ET130" s="152"/>
      <c r="EU130" s="152"/>
      <c r="EV130" s="152"/>
      <c r="EW130" s="152"/>
      <c r="EX130" s="152"/>
      <c r="EY130" s="152"/>
      <c r="EZ130" s="152"/>
      <c r="FA130" s="152"/>
      <c r="FB130" s="152"/>
      <c r="FC130" s="152"/>
      <c r="FD130" s="152"/>
      <c r="FE130" s="152"/>
      <c r="FF130" s="152"/>
      <c r="FG130" s="152"/>
      <c r="FH130" s="152"/>
      <c r="FI130" s="152"/>
      <c r="FJ130" s="152"/>
      <c r="FK130" s="152"/>
      <c r="FL130" s="152"/>
      <c r="FM130" s="152"/>
      <c r="FN130" s="152"/>
      <c r="FO130" s="152"/>
      <c r="FP130" s="152"/>
      <c r="FQ130" s="152"/>
      <c r="FR130" s="152"/>
      <c r="FS130" s="152"/>
      <c r="FT130" s="152"/>
      <c r="FU130" s="152"/>
      <c r="FV130" s="152"/>
      <c r="FW130" s="152"/>
      <c r="FX130" s="152"/>
    </row>
    <row r="131" spans="1:180" s="150" customFormat="1" ht="30" customHeight="1" thickTop="1" thickBot="1" x14ac:dyDescent="0.3">
      <c r="A131" s="307" t="s">
        <v>2479</v>
      </c>
      <c r="B131" s="625" t="s">
        <v>2545</v>
      </c>
      <c r="C131" s="652"/>
      <c r="D131" s="478">
        <v>2</v>
      </c>
      <c r="E131" s="478">
        <v>30</v>
      </c>
      <c r="F131" s="478">
        <v>3</v>
      </c>
      <c r="G131" s="478">
        <v>540</v>
      </c>
      <c r="H131" s="483">
        <v>57443442</v>
      </c>
      <c r="I131" s="483">
        <v>0</v>
      </c>
      <c r="J131" s="426" t="s">
        <v>1060</v>
      </c>
      <c r="K131" s="418" t="s">
        <v>17</v>
      </c>
      <c r="L131" s="418">
        <v>5</v>
      </c>
      <c r="M131" s="418">
        <v>0</v>
      </c>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c r="CB131" s="152"/>
      <c r="CC131" s="152"/>
      <c r="CD131" s="152"/>
      <c r="CE131" s="152"/>
      <c r="CF131" s="152"/>
      <c r="CG131" s="152"/>
      <c r="CH131" s="152"/>
      <c r="CI131" s="152"/>
      <c r="CJ131" s="152"/>
      <c r="CK131" s="152"/>
      <c r="CL131" s="152"/>
      <c r="CM131" s="152"/>
      <c r="CN131" s="152"/>
      <c r="CO131" s="152"/>
      <c r="CP131" s="152"/>
      <c r="CQ131" s="152"/>
      <c r="CR131" s="152"/>
      <c r="CS131" s="152"/>
      <c r="CT131" s="152"/>
      <c r="CU131" s="152"/>
      <c r="CV131" s="152"/>
      <c r="CW131" s="152"/>
      <c r="CX131" s="152"/>
      <c r="CY131" s="152"/>
      <c r="CZ131" s="152"/>
      <c r="DA131" s="152"/>
      <c r="DB131" s="152"/>
      <c r="DC131" s="152"/>
      <c r="DD131" s="152"/>
      <c r="DE131" s="152"/>
      <c r="DF131" s="152"/>
      <c r="DG131" s="152"/>
      <c r="DH131" s="152"/>
      <c r="DI131" s="152"/>
      <c r="DJ131" s="152"/>
      <c r="DK131" s="152"/>
      <c r="DL131" s="152"/>
      <c r="DM131" s="152"/>
      <c r="DN131" s="152"/>
      <c r="DO131" s="152"/>
      <c r="DP131" s="152"/>
      <c r="DQ131" s="152"/>
      <c r="DR131" s="152"/>
      <c r="DS131" s="152"/>
      <c r="DT131" s="152"/>
      <c r="DU131" s="152"/>
      <c r="DV131" s="152"/>
      <c r="DW131" s="152"/>
      <c r="DX131" s="152"/>
      <c r="DY131" s="152"/>
      <c r="DZ131" s="152"/>
      <c r="EA131" s="152"/>
      <c r="EB131" s="152"/>
      <c r="EC131" s="152"/>
      <c r="ED131" s="152"/>
      <c r="EE131" s="152"/>
      <c r="EF131" s="152"/>
      <c r="EG131" s="152"/>
      <c r="EH131" s="152"/>
      <c r="EI131" s="152"/>
      <c r="EJ131" s="152"/>
      <c r="EK131" s="152"/>
      <c r="EL131" s="152"/>
      <c r="EM131" s="152"/>
      <c r="EN131" s="152"/>
      <c r="EO131" s="152"/>
      <c r="EP131" s="152"/>
      <c r="EQ131" s="152"/>
      <c r="ER131" s="152"/>
      <c r="ES131" s="152"/>
      <c r="ET131" s="152"/>
      <c r="EU131" s="152"/>
      <c r="EV131" s="152"/>
      <c r="EW131" s="152"/>
      <c r="EX131" s="152"/>
      <c r="EY131" s="152"/>
      <c r="EZ131" s="152"/>
      <c r="FA131" s="152"/>
      <c r="FB131" s="152"/>
      <c r="FC131" s="152"/>
      <c r="FD131" s="152"/>
      <c r="FE131" s="152"/>
      <c r="FF131" s="152"/>
      <c r="FG131" s="152"/>
      <c r="FH131" s="152"/>
      <c r="FI131" s="152"/>
      <c r="FJ131" s="152"/>
      <c r="FK131" s="152"/>
      <c r="FL131" s="152"/>
      <c r="FM131" s="152"/>
      <c r="FN131" s="152"/>
      <c r="FO131" s="152"/>
      <c r="FP131" s="152"/>
      <c r="FQ131" s="152"/>
      <c r="FR131" s="152"/>
      <c r="FS131" s="152"/>
      <c r="FT131" s="152"/>
      <c r="FU131" s="152"/>
      <c r="FV131" s="152"/>
      <c r="FW131" s="152"/>
      <c r="FX131" s="152"/>
    </row>
    <row r="132" spans="1:180" s="150" customFormat="1" ht="36.75" customHeight="1" thickTop="1" thickBot="1" x14ac:dyDescent="0.3">
      <c r="A132" s="307" t="s">
        <v>2479</v>
      </c>
      <c r="B132" s="625" t="s">
        <v>2545</v>
      </c>
      <c r="C132" s="652"/>
      <c r="D132" s="478">
        <v>2</v>
      </c>
      <c r="E132" s="478">
        <v>30</v>
      </c>
      <c r="F132" s="478">
        <v>3</v>
      </c>
      <c r="G132" s="478">
        <v>540</v>
      </c>
      <c r="H132" s="483">
        <v>45000000</v>
      </c>
      <c r="I132" s="483">
        <v>42900000</v>
      </c>
      <c r="J132" s="426" t="s">
        <v>1061</v>
      </c>
      <c r="K132" s="459" t="s">
        <v>383</v>
      </c>
      <c r="L132" s="418">
        <v>15</v>
      </c>
      <c r="M132" s="418">
        <v>15</v>
      </c>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c r="CG132" s="152"/>
      <c r="CH132" s="152"/>
      <c r="CI132" s="152"/>
      <c r="CJ132" s="152"/>
      <c r="CK132" s="152"/>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c r="DI132" s="152"/>
      <c r="DJ132" s="152"/>
      <c r="DK132" s="152"/>
      <c r="DL132" s="152"/>
      <c r="DM132" s="152"/>
      <c r="DN132" s="152"/>
      <c r="DO132" s="152"/>
      <c r="DP132" s="152"/>
      <c r="DQ132" s="152"/>
      <c r="DR132" s="152"/>
      <c r="DS132" s="152"/>
      <c r="DT132" s="152"/>
      <c r="DU132" s="152"/>
      <c r="DV132" s="152"/>
      <c r="DW132" s="152"/>
      <c r="DX132" s="152"/>
      <c r="DY132" s="152"/>
      <c r="DZ132" s="152"/>
      <c r="EA132" s="152"/>
      <c r="EB132" s="152"/>
      <c r="EC132" s="152"/>
      <c r="ED132" s="152"/>
      <c r="EE132" s="152"/>
      <c r="EF132" s="152"/>
      <c r="EG132" s="152"/>
      <c r="EH132" s="152"/>
      <c r="EI132" s="152"/>
      <c r="EJ132" s="152"/>
      <c r="EK132" s="152"/>
      <c r="EL132" s="152"/>
      <c r="EM132" s="152"/>
      <c r="EN132" s="152"/>
      <c r="EO132" s="152"/>
      <c r="EP132" s="152"/>
      <c r="EQ132" s="152"/>
      <c r="ER132" s="152"/>
      <c r="ES132" s="152"/>
      <c r="ET132" s="152"/>
      <c r="EU132" s="152"/>
      <c r="EV132" s="152"/>
      <c r="EW132" s="152"/>
      <c r="EX132" s="152"/>
      <c r="EY132" s="152"/>
      <c r="EZ132" s="152"/>
      <c r="FA132" s="152"/>
      <c r="FB132" s="152"/>
      <c r="FC132" s="152"/>
      <c r="FD132" s="152"/>
      <c r="FE132" s="152"/>
      <c r="FF132" s="152"/>
      <c r="FG132" s="152"/>
      <c r="FH132" s="152"/>
      <c r="FI132" s="152"/>
      <c r="FJ132" s="152"/>
      <c r="FK132" s="152"/>
      <c r="FL132" s="152"/>
      <c r="FM132" s="152"/>
      <c r="FN132" s="152"/>
      <c r="FO132" s="152"/>
      <c r="FP132" s="152"/>
      <c r="FQ132" s="152"/>
      <c r="FR132" s="152"/>
      <c r="FS132" s="152"/>
      <c r="FT132" s="152"/>
      <c r="FU132" s="152"/>
      <c r="FV132" s="152"/>
      <c r="FW132" s="152"/>
      <c r="FX132" s="152"/>
    </row>
    <row r="133" spans="1:180" s="150" customFormat="1" ht="30" customHeight="1" thickTop="1" thickBot="1" x14ac:dyDescent="0.3">
      <c r="A133" s="307" t="s">
        <v>2479</v>
      </c>
      <c r="B133" s="625" t="s">
        <v>2545</v>
      </c>
      <c r="C133" s="652"/>
      <c r="D133" s="478">
        <v>2</v>
      </c>
      <c r="E133" s="478">
        <v>30</v>
      </c>
      <c r="F133" s="478">
        <v>3</v>
      </c>
      <c r="G133" s="478">
        <v>540</v>
      </c>
      <c r="H133" s="483">
        <v>42000000</v>
      </c>
      <c r="I133" s="483">
        <v>21000000</v>
      </c>
      <c r="J133" s="426" t="s">
        <v>1062</v>
      </c>
      <c r="K133" s="418" t="s">
        <v>46</v>
      </c>
      <c r="L133" s="418">
        <v>220</v>
      </c>
      <c r="M133" s="418">
        <v>110</v>
      </c>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52"/>
      <c r="CM133" s="152"/>
      <c r="CN133" s="152"/>
      <c r="CO133" s="152"/>
      <c r="CP133" s="152"/>
      <c r="CQ133" s="152"/>
      <c r="CR133" s="152"/>
      <c r="CS133" s="152"/>
      <c r="CT133" s="152"/>
      <c r="CU133" s="152"/>
      <c r="CV133" s="152"/>
      <c r="CW133" s="152"/>
      <c r="CX133" s="152"/>
      <c r="CY133" s="152"/>
      <c r="CZ133" s="152"/>
      <c r="DA133" s="152"/>
      <c r="DB133" s="152"/>
      <c r="DC133" s="152"/>
      <c r="DD133" s="152"/>
      <c r="DE133" s="152"/>
      <c r="DF133" s="152"/>
      <c r="DG133" s="152"/>
      <c r="DH133" s="152"/>
      <c r="DI133" s="152"/>
      <c r="DJ133" s="152"/>
      <c r="DK133" s="152"/>
      <c r="DL133" s="152"/>
      <c r="DM133" s="152"/>
      <c r="DN133" s="152"/>
      <c r="DO133" s="152"/>
      <c r="DP133" s="152"/>
      <c r="DQ133" s="152"/>
      <c r="DR133" s="152"/>
      <c r="DS133" s="152"/>
      <c r="DT133" s="152"/>
      <c r="DU133" s="152"/>
      <c r="DV133" s="152"/>
      <c r="DW133" s="152"/>
      <c r="DX133" s="152"/>
      <c r="DY133" s="152"/>
      <c r="DZ133" s="152"/>
      <c r="EA133" s="152"/>
      <c r="EB133" s="152"/>
      <c r="EC133" s="152"/>
      <c r="ED133" s="152"/>
      <c r="EE133" s="152"/>
      <c r="EF133" s="152"/>
      <c r="EG133" s="152"/>
      <c r="EH133" s="152"/>
      <c r="EI133" s="152"/>
      <c r="EJ133" s="152"/>
      <c r="EK133" s="152"/>
      <c r="EL133" s="152"/>
      <c r="EM133" s="152"/>
      <c r="EN133" s="152"/>
      <c r="EO133" s="152"/>
      <c r="EP133" s="152"/>
      <c r="EQ133" s="152"/>
      <c r="ER133" s="152"/>
      <c r="ES133" s="152"/>
      <c r="ET133" s="152"/>
      <c r="EU133" s="152"/>
      <c r="EV133" s="152"/>
      <c r="EW133" s="152"/>
      <c r="EX133" s="152"/>
      <c r="EY133" s="152"/>
      <c r="EZ133" s="152"/>
      <c r="FA133" s="152"/>
      <c r="FB133" s="152"/>
      <c r="FC133" s="152"/>
      <c r="FD133" s="152"/>
      <c r="FE133" s="152"/>
      <c r="FF133" s="152"/>
      <c r="FG133" s="152"/>
      <c r="FH133" s="152"/>
      <c r="FI133" s="152"/>
      <c r="FJ133" s="152"/>
      <c r="FK133" s="152"/>
      <c r="FL133" s="152"/>
      <c r="FM133" s="152"/>
      <c r="FN133" s="152"/>
      <c r="FO133" s="152"/>
      <c r="FP133" s="152"/>
      <c r="FQ133" s="152"/>
      <c r="FR133" s="152"/>
      <c r="FS133" s="152"/>
      <c r="FT133" s="152"/>
      <c r="FU133" s="152"/>
      <c r="FV133" s="152"/>
      <c r="FW133" s="152"/>
      <c r="FX133" s="152"/>
    </row>
    <row r="134" spans="1:180" s="150" customFormat="1" ht="30" customHeight="1" thickTop="1" thickBot="1" x14ac:dyDescent="0.3">
      <c r="A134" s="307" t="s">
        <v>2479</v>
      </c>
      <c r="B134" s="625" t="s">
        <v>2545</v>
      </c>
      <c r="C134" s="653"/>
      <c r="D134" s="478">
        <v>2</v>
      </c>
      <c r="E134" s="478">
        <v>30</v>
      </c>
      <c r="F134" s="478">
        <v>3</v>
      </c>
      <c r="G134" s="478">
        <v>540</v>
      </c>
      <c r="H134" s="483">
        <v>28000000</v>
      </c>
      <c r="I134" s="483">
        <v>17200000</v>
      </c>
      <c r="J134" s="426" t="s">
        <v>1049</v>
      </c>
      <c r="K134" s="418" t="s">
        <v>44</v>
      </c>
      <c r="L134" s="418">
        <v>130</v>
      </c>
      <c r="M134" s="418">
        <v>79</v>
      </c>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52"/>
      <c r="BV134" s="152"/>
      <c r="BW134" s="152"/>
      <c r="BX134" s="152"/>
      <c r="BY134" s="152"/>
      <c r="BZ134" s="152"/>
      <c r="CA134" s="152"/>
      <c r="CB134" s="152"/>
      <c r="CC134" s="152"/>
      <c r="CD134" s="152"/>
      <c r="CE134" s="152"/>
      <c r="CF134" s="152"/>
      <c r="CG134" s="152"/>
      <c r="CH134" s="152"/>
      <c r="CI134" s="152"/>
      <c r="CJ134" s="152"/>
      <c r="CK134" s="152"/>
      <c r="CL134" s="152"/>
      <c r="CM134" s="152"/>
      <c r="CN134" s="152"/>
      <c r="CO134" s="152"/>
      <c r="CP134" s="152"/>
      <c r="CQ134" s="152"/>
      <c r="CR134" s="152"/>
      <c r="CS134" s="152"/>
      <c r="CT134" s="152"/>
      <c r="CU134" s="152"/>
      <c r="CV134" s="152"/>
      <c r="CW134" s="152"/>
      <c r="CX134" s="152"/>
      <c r="CY134" s="152"/>
      <c r="CZ134" s="152"/>
      <c r="DA134" s="152"/>
      <c r="DB134" s="152"/>
      <c r="DC134" s="152"/>
      <c r="DD134" s="152"/>
      <c r="DE134" s="152"/>
      <c r="DF134" s="152"/>
      <c r="DG134" s="152"/>
      <c r="DH134" s="152"/>
      <c r="DI134" s="152"/>
      <c r="DJ134" s="152"/>
      <c r="DK134" s="152"/>
      <c r="DL134" s="152"/>
      <c r="DM134" s="152"/>
      <c r="DN134" s="152"/>
      <c r="DO134" s="152"/>
      <c r="DP134" s="152"/>
      <c r="DQ134" s="152"/>
      <c r="DR134" s="152"/>
      <c r="DS134" s="152"/>
      <c r="DT134" s="152"/>
      <c r="DU134" s="152"/>
      <c r="DV134" s="152"/>
      <c r="DW134" s="152"/>
      <c r="DX134" s="152"/>
      <c r="DY134" s="152"/>
      <c r="DZ134" s="152"/>
      <c r="EA134" s="152"/>
      <c r="EB134" s="152"/>
      <c r="EC134" s="152"/>
      <c r="ED134" s="152"/>
      <c r="EE134" s="152"/>
      <c r="EF134" s="152"/>
      <c r="EG134" s="152"/>
      <c r="EH134" s="152"/>
      <c r="EI134" s="152"/>
      <c r="EJ134" s="152"/>
      <c r="EK134" s="152"/>
      <c r="EL134" s="152"/>
      <c r="EM134" s="152"/>
      <c r="EN134" s="152"/>
      <c r="EO134" s="152"/>
      <c r="EP134" s="152"/>
      <c r="EQ134" s="152"/>
      <c r="ER134" s="152"/>
      <c r="ES134" s="152"/>
      <c r="ET134" s="152"/>
      <c r="EU134" s="152"/>
      <c r="EV134" s="152"/>
      <c r="EW134" s="152"/>
      <c r="EX134" s="152"/>
      <c r="EY134" s="152"/>
      <c r="EZ134" s="152"/>
      <c r="FA134" s="152"/>
      <c r="FB134" s="152"/>
      <c r="FC134" s="152"/>
      <c r="FD134" s="152"/>
      <c r="FE134" s="152"/>
      <c r="FF134" s="152"/>
      <c r="FG134" s="152"/>
      <c r="FH134" s="152"/>
      <c r="FI134" s="152"/>
      <c r="FJ134" s="152"/>
      <c r="FK134" s="152"/>
      <c r="FL134" s="152"/>
      <c r="FM134" s="152"/>
      <c r="FN134" s="152"/>
      <c r="FO134" s="152"/>
      <c r="FP134" s="152"/>
      <c r="FQ134" s="152"/>
      <c r="FR134" s="152"/>
      <c r="FS134" s="152"/>
      <c r="FT134" s="152"/>
      <c r="FU134" s="152"/>
      <c r="FV134" s="152"/>
      <c r="FW134" s="152"/>
      <c r="FX134" s="152"/>
    </row>
    <row r="135" spans="1:180" s="153" customFormat="1" ht="15.75" customHeight="1" thickTop="1" thickBot="1" x14ac:dyDescent="0.3">
      <c r="A135" s="439"/>
      <c r="B135" s="475"/>
      <c r="C135" s="158"/>
      <c r="D135" s="471"/>
      <c r="E135" s="471"/>
      <c r="F135" s="471"/>
      <c r="G135" s="471"/>
      <c r="H135" s="471"/>
      <c r="I135" s="471"/>
      <c r="J135" s="158"/>
      <c r="K135" s="165"/>
      <c r="L135" s="165"/>
      <c r="M135" s="165"/>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52"/>
      <c r="CG135" s="152"/>
      <c r="CH135" s="152"/>
      <c r="CI135" s="152"/>
      <c r="CJ135" s="152"/>
      <c r="CK135" s="152"/>
      <c r="CL135" s="152"/>
      <c r="CM135" s="152"/>
      <c r="CN135" s="152"/>
      <c r="CO135" s="152"/>
      <c r="CP135" s="152"/>
      <c r="CQ135" s="152"/>
      <c r="CR135" s="152"/>
      <c r="CS135" s="152"/>
      <c r="CT135" s="152"/>
      <c r="CU135" s="152"/>
      <c r="CV135" s="152"/>
      <c r="CW135" s="152"/>
      <c r="CX135" s="152"/>
      <c r="CY135" s="152"/>
      <c r="CZ135" s="152"/>
      <c r="DA135" s="152"/>
      <c r="DB135" s="152"/>
      <c r="DC135" s="152"/>
      <c r="DD135" s="152"/>
      <c r="DE135" s="152"/>
      <c r="DF135" s="152"/>
      <c r="DG135" s="152"/>
      <c r="DH135" s="152"/>
      <c r="DI135" s="152"/>
      <c r="DJ135" s="152"/>
      <c r="DK135" s="152"/>
      <c r="DL135" s="152"/>
      <c r="DM135" s="152"/>
      <c r="DN135" s="152"/>
      <c r="DO135" s="152"/>
      <c r="DP135" s="152"/>
      <c r="DQ135" s="152"/>
      <c r="DR135" s="152"/>
      <c r="DS135" s="152"/>
      <c r="DT135" s="152"/>
      <c r="DU135" s="152"/>
      <c r="DV135" s="152"/>
      <c r="DW135" s="152"/>
      <c r="DX135" s="152"/>
      <c r="DY135" s="152"/>
      <c r="DZ135" s="152"/>
      <c r="EA135" s="152"/>
      <c r="EB135" s="152"/>
      <c r="EC135" s="152"/>
      <c r="ED135" s="152"/>
      <c r="EE135" s="152"/>
      <c r="EF135" s="152"/>
      <c r="EG135" s="152"/>
      <c r="EH135" s="152"/>
      <c r="EI135" s="152"/>
      <c r="EJ135" s="152"/>
      <c r="EK135" s="152"/>
      <c r="EL135" s="152"/>
      <c r="EM135" s="152"/>
      <c r="EN135" s="152"/>
      <c r="EO135" s="152"/>
      <c r="EP135" s="152"/>
      <c r="EQ135" s="152"/>
      <c r="ER135" s="152"/>
      <c r="ES135" s="152"/>
      <c r="ET135" s="152"/>
      <c r="EU135" s="152"/>
      <c r="EV135" s="152"/>
      <c r="EW135" s="152"/>
      <c r="EX135" s="152"/>
      <c r="EY135" s="152"/>
      <c r="EZ135" s="152"/>
      <c r="FA135" s="152"/>
      <c r="FB135" s="152"/>
      <c r="FC135" s="152"/>
      <c r="FD135" s="152"/>
      <c r="FE135" s="152"/>
      <c r="FF135" s="152"/>
      <c r="FG135" s="152"/>
      <c r="FH135" s="152"/>
      <c r="FI135" s="152"/>
      <c r="FJ135" s="152"/>
      <c r="FK135" s="152"/>
      <c r="FL135" s="152"/>
      <c r="FM135" s="152"/>
      <c r="FN135" s="152"/>
      <c r="FO135" s="152"/>
      <c r="FP135" s="152"/>
      <c r="FQ135" s="152"/>
      <c r="FR135" s="152"/>
      <c r="FS135" s="152"/>
      <c r="FT135" s="152"/>
      <c r="FU135" s="152"/>
      <c r="FV135" s="152"/>
      <c r="FW135" s="152"/>
      <c r="FX135" s="152"/>
    </row>
    <row r="136" spans="1:180" s="168" customFormat="1" ht="30" customHeight="1" thickTop="1" thickBot="1" x14ac:dyDescent="0.3">
      <c r="A136" s="639" t="s">
        <v>0</v>
      </c>
      <c r="B136" s="639" t="s">
        <v>1</v>
      </c>
      <c r="C136" s="639" t="s">
        <v>2569</v>
      </c>
      <c r="D136" s="636" t="s">
        <v>1961</v>
      </c>
      <c r="E136" s="637"/>
      <c r="F136" s="637"/>
      <c r="G136" s="638"/>
      <c r="H136" s="636" t="s">
        <v>3</v>
      </c>
      <c r="I136" s="637"/>
      <c r="J136" s="636" t="s">
        <v>1962</v>
      </c>
      <c r="K136" s="637"/>
      <c r="L136" s="637"/>
      <c r="M136" s="638"/>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row>
    <row r="137" spans="1:180" s="152" customFormat="1" ht="32.25" customHeight="1" thickTop="1" thickBot="1" x14ac:dyDescent="0.3">
      <c r="A137" s="640"/>
      <c r="B137" s="640"/>
      <c r="C137" s="640"/>
      <c r="D137" s="209" t="s">
        <v>4</v>
      </c>
      <c r="E137" s="209" t="s">
        <v>5</v>
      </c>
      <c r="F137" s="209" t="s">
        <v>6</v>
      </c>
      <c r="G137" s="209" t="s">
        <v>7</v>
      </c>
      <c r="H137" s="209" t="s">
        <v>2</v>
      </c>
      <c r="I137" s="209" t="s">
        <v>3</v>
      </c>
      <c r="J137" s="209" t="s">
        <v>8</v>
      </c>
      <c r="K137" s="406" t="s">
        <v>9</v>
      </c>
      <c r="L137" s="406" t="s">
        <v>1963</v>
      </c>
      <c r="M137" s="406" t="s">
        <v>1964</v>
      </c>
    </row>
    <row r="138" spans="1:180" s="150" customFormat="1" ht="64.5" customHeight="1" thickTop="1" thickBot="1" x14ac:dyDescent="0.3">
      <c r="A138" s="307" t="s">
        <v>1156</v>
      </c>
      <c r="B138" s="625" t="s">
        <v>2545</v>
      </c>
      <c r="C138" s="413" t="s">
        <v>364</v>
      </c>
      <c r="D138" s="478">
        <v>2</v>
      </c>
      <c r="E138" s="478">
        <v>30</v>
      </c>
      <c r="F138" s="478">
        <v>3</v>
      </c>
      <c r="G138" s="478">
        <v>848</v>
      </c>
      <c r="H138" s="483">
        <v>228287979</v>
      </c>
      <c r="I138" s="483">
        <v>226445725</v>
      </c>
      <c r="J138" s="426" t="s">
        <v>1063</v>
      </c>
      <c r="K138" s="418" t="s">
        <v>20</v>
      </c>
      <c r="L138" s="418">
        <v>350</v>
      </c>
      <c r="M138" s="307">
        <v>350</v>
      </c>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2"/>
      <c r="BU138" s="152"/>
      <c r="BV138" s="152"/>
      <c r="BW138" s="152"/>
      <c r="BX138" s="152"/>
      <c r="BY138" s="152"/>
      <c r="BZ138" s="152"/>
      <c r="CA138" s="152"/>
      <c r="CB138" s="152"/>
      <c r="CC138" s="152"/>
      <c r="CD138" s="152"/>
      <c r="CE138" s="152"/>
      <c r="CF138" s="152"/>
      <c r="CG138" s="152"/>
      <c r="CH138" s="152"/>
      <c r="CI138" s="152"/>
      <c r="CJ138" s="152"/>
      <c r="CK138" s="152"/>
      <c r="CL138" s="152"/>
      <c r="CM138" s="152"/>
      <c r="CN138" s="152"/>
      <c r="CO138" s="152"/>
      <c r="CP138" s="152"/>
      <c r="CQ138" s="152"/>
      <c r="CR138" s="152"/>
      <c r="CS138" s="152"/>
      <c r="CT138" s="152"/>
      <c r="CU138" s="152"/>
      <c r="CV138" s="152"/>
      <c r="CW138" s="152"/>
      <c r="CX138" s="152"/>
      <c r="CY138" s="152"/>
      <c r="CZ138" s="152"/>
      <c r="DA138" s="152"/>
      <c r="DB138" s="152"/>
      <c r="DC138" s="152"/>
      <c r="DD138" s="152"/>
      <c r="DE138" s="152"/>
      <c r="DF138" s="152"/>
      <c r="DG138" s="152"/>
      <c r="DH138" s="152"/>
      <c r="DI138" s="152"/>
      <c r="DJ138" s="152"/>
      <c r="DK138" s="152"/>
      <c r="DL138" s="152"/>
      <c r="DM138" s="152"/>
      <c r="DN138" s="152"/>
      <c r="DO138" s="152"/>
      <c r="DP138" s="152"/>
      <c r="DQ138" s="152"/>
      <c r="DR138" s="152"/>
      <c r="DS138" s="152"/>
      <c r="DT138" s="152"/>
      <c r="DU138" s="152"/>
      <c r="DV138" s="152"/>
      <c r="DW138" s="152"/>
      <c r="DX138" s="152"/>
      <c r="DY138" s="152"/>
      <c r="DZ138" s="152"/>
      <c r="EA138" s="152"/>
      <c r="EB138" s="152"/>
      <c r="EC138" s="152"/>
      <c r="ED138" s="152"/>
      <c r="EE138" s="152"/>
      <c r="EF138" s="152"/>
      <c r="EG138" s="152"/>
      <c r="EH138" s="152"/>
      <c r="EI138" s="152"/>
      <c r="EJ138" s="152"/>
      <c r="EK138" s="152"/>
      <c r="EL138" s="152"/>
      <c r="EM138" s="152"/>
      <c r="EN138" s="152"/>
      <c r="EO138" s="152"/>
      <c r="EP138" s="152"/>
      <c r="EQ138" s="152"/>
      <c r="ER138" s="152"/>
      <c r="ES138" s="152"/>
      <c r="ET138" s="152"/>
      <c r="EU138" s="152"/>
      <c r="EV138" s="152"/>
      <c r="EW138" s="152"/>
      <c r="EX138" s="152"/>
      <c r="EY138" s="152"/>
      <c r="EZ138" s="152"/>
      <c r="FA138" s="152"/>
      <c r="FB138" s="152"/>
      <c r="FC138" s="152"/>
      <c r="FD138" s="152"/>
      <c r="FE138" s="152"/>
      <c r="FF138" s="152"/>
      <c r="FG138" s="152"/>
      <c r="FH138" s="152"/>
      <c r="FI138" s="152"/>
      <c r="FJ138" s="152"/>
      <c r="FK138" s="152"/>
      <c r="FL138" s="152"/>
      <c r="FM138" s="152"/>
      <c r="FN138" s="152"/>
      <c r="FO138" s="152"/>
      <c r="FP138" s="152"/>
      <c r="FQ138" s="152"/>
      <c r="FR138" s="152"/>
      <c r="FS138" s="152"/>
      <c r="FT138" s="152"/>
      <c r="FU138" s="152"/>
      <c r="FV138" s="152"/>
      <c r="FW138" s="152"/>
      <c r="FX138" s="152"/>
    </row>
    <row r="139" spans="1:180" s="150" customFormat="1" ht="48" customHeight="1" thickTop="1" thickBot="1" x14ac:dyDescent="0.3">
      <c r="A139" s="307" t="s">
        <v>1156</v>
      </c>
      <c r="B139" s="625" t="s">
        <v>2545</v>
      </c>
      <c r="C139" s="413" t="s">
        <v>179</v>
      </c>
      <c r="D139" s="478">
        <v>2</v>
      </c>
      <c r="E139" s="478">
        <v>30</v>
      </c>
      <c r="F139" s="478">
        <v>3</v>
      </c>
      <c r="G139" s="478">
        <v>520</v>
      </c>
      <c r="H139" s="483">
        <v>278703000</v>
      </c>
      <c r="I139" s="483">
        <f>32070065+32070065+13924877+13924877-4599494</f>
        <v>87390390</v>
      </c>
      <c r="J139" s="426" t="s">
        <v>1064</v>
      </c>
      <c r="K139" s="418" t="s">
        <v>25</v>
      </c>
      <c r="L139" s="418">
        <v>3</v>
      </c>
      <c r="M139" s="307">
        <v>0</v>
      </c>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52"/>
      <c r="BV139" s="152"/>
      <c r="BW139" s="152"/>
      <c r="BX139" s="152"/>
      <c r="BY139" s="152"/>
      <c r="BZ139" s="152"/>
      <c r="CA139" s="152"/>
      <c r="CB139" s="152"/>
      <c r="CC139" s="152"/>
      <c r="CD139" s="152"/>
      <c r="CE139" s="152"/>
      <c r="CF139" s="152"/>
      <c r="CG139" s="152"/>
      <c r="CH139" s="152"/>
      <c r="CI139" s="152"/>
      <c r="CJ139" s="152"/>
      <c r="CK139" s="152"/>
      <c r="CL139" s="152"/>
      <c r="CM139" s="152"/>
      <c r="CN139" s="152"/>
      <c r="CO139" s="152"/>
      <c r="CP139" s="152"/>
      <c r="CQ139" s="152"/>
      <c r="CR139" s="152"/>
      <c r="CS139" s="152"/>
      <c r="CT139" s="152"/>
      <c r="CU139" s="152"/>
      <c r="CV139" s="152"/>
      <c r="CW139" s="152"/>
      <c r="CX139" s="152"/>
      <c r="CY139" s="152"/>
      <c r="CZ139" s="152"/>
      <c r="DA139" s="152"/>
      <c r="DB139" s="152"/>
      <c r="DC139" s="152"/>
      <c r="DD139" s="152"/>
      <c r="DE139" s="152"/>
      <c r="DF139" s="152"/>
      <c r="DG139" s="152"/>
      <c r="DH139" s="152"/>
      <c r="DI139" s="152"/>
      <c r="DJ139" s="152"/>
      <c r="DK139" s="152"/>
      <c r="DL139" s="152"/>
      <c r="DM139" s="152"/>
      <c r="DN139" s="152"/>
      <c r="DO139" s="152"/>
      <c r="DP139" s="152"/>
      <c r="DQ139" s="152"/>
      <c r="DR139" s="152"/>
      <c r="DS139" s="152"/>
      <c r="DT139" s="152"/>
      <c r="DU139" s="152"/>
      <c r="DV139" s="152"/>
      <c r="DW139" s="152"/>
      <c r="DX139" s="152"/>
      <c r="DY139" s="152"/>
      <c r="DZ139" s="152"/>
      <c r="EA139" s="152"/>
      <c r="EB139" s="152"/>
      <c r="EC139" s="152"/>
      <c r="ED139" s="152"/>
      <c r="EE139" s="152"/>
      <c r="EF139" s="152"/>
      <c r="EG139" s="152"/>
      <c r="EH139" s="152"/>
      <c r="EI139" s="152"/>
      <c r="EJ139" s="152"/>
      <c r="EK139" s="152"/>
      <c r="EL139" s="152"/>
      <c r="EM139" s="152"/>
      <c r="EN139" s="152"/>
      <c r="EO139" s="152"/>
      <c r="EP139" s="152"/>
      <c r="EQ139" s="152"/>
      <c r="ER139" s="152"/>
      <c r="ES139" s="152"/>
      <c r="ET139" s="152"/>
      <c r="EU139" s="152"/>
      <c r="EV139" s="152"/>
      <c r="EW139" s="152"/>
      <c r="EX139" s="152"/>
      <c r="EY139" s="152"/>
      <c r="EZ139" s="152"/>
      <c r="FA139" s="152"/>
      <c r="FB139" s="152"/>
      <c r="FC139" s="152"/>
      <c r="FD139" s="152"/>
      <c r="FE139" s="152"/>
      <c r="FF139" s="152"/>
      <c r="FG139" s="152"/>
      <c r="FH139" s="152"/>
      <c r="FI139" s="152"/>
      <c r="FJ139" s="152"/>
      <c r="FK139" s="152"/>
      <c r="FL139" s="152"/>
      <c r="FM139" s="152"/>
      <c r="FN139" s="152"/>
      <c r="FO139" s="152"/>
      <c r="FP139" s="152"/>
      <c r="FQ139" s="152"/>
      <c r="FR139" s="152"/>
      <c r="FS139" s="152"/>
      <c r="FT139" s="152"/>
      <c r="FU139" s="152"/>
      <c r="FV139" s="152"/>
      <c r="FW139" s="152"/>
      <c r="FX139" s="152"/>
    </row>
    <row r="140" spans="1:180" s="150" customFormat="1" ht="48" customHeight="1" thickTop="1" thickBot="1" x14ac:dyDescent="0.3">
      <c r="A140" s="307" t="s">
        <v>1156</v>
      </c>
      <c r="B140" s="625" t="s">
        <v>2545</v>
      </c>
      <c r="C140" s="413" t="s">
        <v>179</v>
      </c>
      <c r="D140" s="478">
        <v>2</v>
      </c>
      <c r="E140" s="478">
        <v>30</v>
      </c>
      <c r="F140" s="478">
        <v>3</v>
      </c>
      <c r="G140" s="478">
        <v>520</v>
      </c>
      <c r="H140" s="483">
        <v>102497500</v>
      </c>
      <c r="I140" s="483">
        <f>34624408+32512871-3356863</f>
        <v>63780416</v>
      </c>
      <c r="J140" s="426" t="s">
        <v>1065</v>
      </c>
      <c r="K140" s="418" t="s">
        <v>55</v>
      </c>
      <c r="L140" s="418">
        <v>1</v>
      </c>
      <c r="M140" s="307">
        <v>0</v>
      </c>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c r="BY140" s="152"/>
      <c r="BZ140" s="152"/>
      <c r="CA140" s="152"/>
      <c r="CB140" s="152"/>
      <c r="CC140" s="152"/>
      <c r="CD140" s="152"/>
      <c r="CE140" s="152"/>
      <c r="CF140" s="152"/>
      <c r="CG140" s="152"/>
      <c r="CH140" s="152"/>
      <c r="CI140" s="152"/>
      <c r="CJ140" s="152"/>
      <c r="CK140" s="152"/>
      <c r="CL140" s="152"/>
      <c r="CM140" s="152"/>
      <c r="CN140" s="152"/>
      <c r="CO140" s="152"/>
      <c r="CP140" s="152"/>
      <c r="CQ140" s="152"/>
      <c r="CR140" s="152"/>
      <c r="CS140" s="152"/>
      <c r="CT140" s="152"/>
      <c r="CU140" s="152"/>
      <c r="CV140" s="152"/>
      <c r="CW140" s="152"/>
      <c r="CX140" s="152"/>
      <c r="CY140" s="152"/>
      <c r="CZ140" s="152"/>
      <c r="DA140" s="152"/>
      <c r="DB140" s="152"/>
      <c r="DC140" s="152"/>
      <c r="DD140" s="152"/>
      <c r="DE140" s="152"/>
      <c r="DF140" s="152"/>
      <c r="DG140" s="152"/>
      <c r="DH140" s="152"/>
      <c r="DI140" s="152"/>
      <c r="DJ140" s="152"/>
      <c r="DK140" s="152"/>
      <c r="DL140" s="152"/>
      <c r="DM140" s="152"/>
      <c r="DN140" s="152"/>
      <c r="DO140" s="152"/>
      <c r="DP140" s="152"/>
      <c r="DQ140" s="152"/>
      <c r="DR140" s="152"/>
      <c r="DS140" s="152"/>
      <c r="DT140" s="152"/>
      <c r="DU140" s="152"/>
      <c r="DV140" s="152"/>
      <c r="DW140" s="152"/>
      <c r="DX140" s="152"/>
      <c r="DY140" s="152"/>
      <c r="DZ140" s="152"/>
      <c r="EA140" s="152"/>
      <c r="EB140" s="152"/>
      <c r="EC140" s="152"/>
      <c r="ED140" s="152"/>
      <c r="EE140" s="152"/>
      <c r="EF140" s="152"/>
      <c r="EG140" s="152"/>
      <c r="EH140" s="152"/>
      <c r="EI140" s="152"/>
      <c r="EJ140" s="152"/>
      <c r="EK140" s="152"/>
      <c r="EL140" s="152"/>
      <c r="EM140" s="152"/>
      <c r="EN140" s="152"/>
      <c r="EO140" s="152"/>
      <c r="EP140" s="152"/>
      <c r="EQ140" s="152"/>
      <c r="ER140" s="152"/>
      <c r="ES140" s="152"/>
      <c r="ET140" s="152"/>
      <c r="EU140" s="152"/>
      <c r="EV140" s="152"/>
      <c r="EW140" s="152"/>
      <c r="EX140" s="152"/>
      <c r="EY140" s="152"/>
      <c r="EZ140" s="152"/>
      <c r="FA140" s="152"/>
      <c r="FB140" s="152"/>
      <c r="FC140" s="152"/>
      <c r="FD140" s="152"/>
      <c r="FE140" s="152"/>
      <c r="FF140" s="152"/>
      <c r="FG140" s="152"/>
      <c r="FH140" s="152"/>
      <c r="FI140" s="152"/>
      <c r="FJ140" s="152"/>
      <c r="FK140" s="152"/>
      <c r="FL140" s="152"/>
      <c r="FM140" s="152"/>
      <c r="FN140" s="152"/>
      <c r="FO140" s="152"/>
      <c r="FP140" s="152"/>
      <c r="FQ140" s="152"/>
      <c r="FR140" s="152"/>
      <c r="FS140" s="152"/>
      <c r="FT140" s="152"/>
      <c r="FU140" s="152"/>
      <c r="FV140" s="152"/>
      <c r="FW140" s="152"/>
      <c r="FX140" s="152"/>
    </row>
    <row r="141" spans="1:180" s="150" customFormat="1" ht="48" customHeight="1" thickTop="1" thickBot="1" x14ac:dyDescent="0.3">
      <c r="A141" s="307" t="s">
        <v>1156</v>
      </c>
      <c r="B141" s="625" t="s">
        <v>2545</v>
      </c>
      <c r="C141" s="413" t="s">
        <v>179</v>
      </c>
      <c r="D141" s="478">
        <v>2</v>
      </c>
      <c r="E141" s="478">
        <v>30</v>
      </c>
      <c r="F141" s="478">
        <v>3</v>
      </c>
      <c r="G141" s="478">
        <v>520</v>
      </c>
      <c r="H141" s="483">
        <v>151471452</v>
      </c>
      <c r="I141" s="483">
        <f>16258288+77105671-4668199</f>
        <v>88695760</v>
      </c>
      <c r="J141" s="426" t="s">
        <v>1066</v>
      </c>
      <c r="K141" s="418" t="s">
        <v>55</v>
      </c>
      <c r="L141" s="418">
        <v>4</v>
      </c>
      <c r="M141" s="307">
        <v>0</v>
      </c>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52"/>
      <c r="CG141" s="152"/>
      <c r="CH141" s="152"/>
      <c r="CI141" s="152"/>
      <c r="CJ141" s="152"/>
      <c r="CK141" s="152"/>
      <c r="CL141" s="152"/>
      <c r="CM141" s="152"/>
      <c r="CN141" s="152"/>
      <c r="CO141" s="152"/>
      <c r="CP141" s="152"/>
      <c r="CQ141" s="152"/>
      <c r="CR141" s="152"/>
      <c r="CS141" s="152"/>
      <c r="CT141" s="152"/>
      <c r="CU141" s="152"/>
      <c r="CV141" s="152"/>
      <c r="CW141" s="152"/>
      <c r="CX141" s="152"/>
      <c r="CY141" s="152"/>
      <c r="CZ141" s="152"/>
      <c r="DA141" s="152"/>
      <c r="DB141" s="152"/>
      <c r="DC141" s="152"/>
      <c r="DD141" s="152"/>
      <c r="DE141" s="152"/>
      <c r="DF141" s="152"/>
      <c r="DG141" s="152"/>
      <c r="DH141" s="152"/>
      <c r="DI141" s="152"/>
      <c r="DJ141" s="152"/>
      <c r="DK141" s="152"/>
      <c r="DL141" s="152"/>
      <c r="DM141" s="152"/>
      <c r="DN141" s="152"/>
      <c r="DO141" s="152"/>
      <c r="DP141" s="152"/>
      <c r="DQ141" s="152"/>
      <c r="DR141" s="152"/>
      <c r="DS141" s="152"/>
      <c r="DT141" s="152"/>
      <c r="DU141" s="152"/>
      <c r="DV141" s="152"/>
      <c r="DW141" s="152"/>
      <c r="DX141" s="152"/>
      <c r="DY141" s="152"/>
      <c r="DZ141" s="152"/>
      <c r="EA141" s="152"/>
      <c r="EB141" s="152"/>
      <c r="EC141" s="152"/>
      <c r="ED141" s="152"/>
      <c r="EE141" s="152"/>
      <c r="EF141" s="152"/>
      <c r="EG141" s="152"/>
      <c r="EH141" s="152"/>
      <c r="EI141" s="152"/>
      <c r="EJ141" s="152"/>
      <c r="EK141" s="152"/>
      <c r="EL141" s="152"/>
      <c r="EM141" s="152"/>
      <c r="EN141" s="152"/>
      <c r="EO141" s="152"/>
      <c r="EP141" s="152"/>
      <c r="EQ141" s="152"/>
      <c r="ER141" s="152"/>
      <c r="ES141" s="152"/>
      <c r="ET141" s="152"/>
      <c r="EU141" s="152"/>
      <c r="EV141" s="152"/>
      <c r="EW141" s="152"/>
      <c r="EX141" s="152"/>
      <c r="EY141" s="152"/>
      <c r="EZ141" s="152"/>
      <c r="FA141" s="152"/>
      <c r="FB141" s="152"/>
      <c r="FC141" s="152"/>
      <c r="FD141" s="152"/>
      <c r="FE141" s="152"/>
      <c r="FF141" s="152"/>
      <c r="FG141" s="152"/>
      <c r="FH141" s="152"/>
      <c r="FI141" s="152"/>
      <c r="FJ141" s="152"/>
      <c r="FK141" s="152"/>
      <c r="FL141" s="152"/>
      <c r="FM141" s="152"/>
      <c r="FN141" s="152"/>
      <c r="FO141" s="152"/>
      <c r="FP141" s="152"/>
      <c r="FQ141" s="152"/>
      <c r="FR141" s="152"/>
      <c r="FS141" s="152"/>
      <c r="FT141" s="152"/>
      <c r="FU141" s="152"/>
      <c r="FV141" s="152"/>
      <c r="FW141" s="152"/>
      <c r="FX141" s="152"/>
    </row>
    <row r="142" spans="1:180" s="153" customFormat="1" ht="17.25" customHeight="1" thickTop="1" thickBot="1" x14ac:dyDescent="0.3">
      <c r="A142" s="136"/>
      <c r="B142" s="475"/>
      <c r="C142" s="178"/>
      <c r="D142" s="24"/>
      <c r="E142" s="24"/>
      <c r="F142" s="24"/>
      <c r="G142" s="24"/>
      <c r="H142" s="24"/>
      <c r="I142" s="24"/>
      <c r="J142" s="24"/>
      <c r="K142" s="24"/>
      <c r="L142" s="177"/>
      <c r="M142" s="24"/>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52"/>
      <c r="BV142" s="152"/>
      <c r="BW142" s="152"/>
      <c r="BX142" s="152"/>
      <c r="BY142" s="152"/>
      <c r="BZ142" s="152"/>
      <c r="CA142" s="152"/>
      <c r="CB142" s="152"/>
      <c r="CC142" s="152"/>
      <c r="CD142" s="152"/>
      <c r="CE142" s="152"/>
      <c r="CF142" s="152"/>
      <c r="CG142" s="152"/>
      <c r="CH142" s="152"/>
      <c r="CI142" s="152"/>
      <c r="CJ142" s="152"/>
      <c r="CK142" s="152"/>
      <c r="CL142" s="152"/>
      <c r="CM142" s="152"/>
      <c r="CN142" s="152"/>
      <c r="CO142" s="152"/>
      <c r="CP142" s="152"/>
      <c r="CQ142" s="152"/>
      <c r="CR142" s="152"/>
      <c r="CS142" s="152"/>
      <c r="CT142" s="152"/>
      <c r="CU142" s="152"/>
      <c r="CV142" s="152"/>
      <c r="CW142" s="152"/>
      <c r="CX142" s="152"/>
      <c r="CY142" s="152"/>
      <c r="CZ142" s="152"/>
      <c r="DA142" s="152"/>
      <c r="DB142" s="152"/>
      <c r="DC142" s="152"/>
      <c r="DD142" s="152"/>
      <c r="DE142" s="152"/>
      <c r="DF142" s="152"/>
      <c r="DG142" s="152"/>
      <c r="DH142" s="152"/>
      <c r="DI142" s="152"/>
      <c r="DJ142" s="152"/>
      <c r="DK142" s="152"/>
      <c r="DL142" s="152"/>
      <c r="DM142" s="152"/>
      <c r="DN142" s="152"/>
      <c r="DO142" s="152"/>
      <c r="DP142" s="152"/>
      <c r="DQ142" s="152"/>
      <c r="DR142" s="152"/>
      <c r="DS142" s="152"/>
      <c r="DT142" s="152"/>
      <c r="DU142" s="152"/>
      <c r="DV142" s="152"/>
      <c r="DW142" s="152"/>
      <c r="DX142" s="152"/>
      <c r="DY142" s="152"/>
      <c r="DZ142" s="152"/>
      <c r="EA142" s="152"/>
      <c r="EB142" s="152"/>
      <c r="EC142" s="152"/>
      <c r="ED142" s="152"/>
      <c r="EE142" s="152"/>
      <c r="EF142" s="152"/>
      <c r="EG142" s="152"/>
      <c r="EH142" s="152"/>
      <c r="EI142" s="152"/>
      <c r="EJ142" s="152"/>
      <c r="EK142" s="152"/>
      <c r="EL142" s="152"/>
      <c r="EM142" s="152"/>
      <c r="EN142" s="152"/>
      <c r="EO142" s="152"/>
      <c r="EP142" s="152"/>
      <c r="EQ142" s="152"/>
      <c r="ER142" s="152"/>
      <c r="ES142" s="152"/>
      <c r="ET142" s="152"/>
      <c r="EU142" s="152"/>
      <c r="EV142" s="152"/>
      <c r="EW142" s="152"/>
      <c r="EX142" s="152"/>
      <c r="EY142" s="152"/>
      <c r="EZ142" s="152"/>
      <c r="FA142" s="152"/>
      <c r="FB142" s="152"/>
      <c r="FC142" s="152"/>
      <c r="FD142" s="152"/>
      <c r="FE142" s="152"/>
      <c r="FF142" s="152"/>
      <c r="FG142" s="152"/>
      <c r="FH142" s="152"/>
      <c r="FI142" s="152"/>
      <c r="FJ142" s="152"/>
      <c r="FK142" s="152"/>
      <c r="FL142" s="152"/>
      <c r="FM142" s="152"/>
      <c r="FN142" s="152"/>
      <c r="FO142" s="152"/>
      <c r="FP142" s="152"/>
      <c r="FQ142" s="152"/>
      <c r="FR142" s="152"/>
      <c r="FS142" s="152"/>
      <c r="FT142" s="152"/>
      <c r="FU142" s="152"/>
      <c r="FV142" s="152"/>
      <c r="FW142" s="152"/>
      <c r="FX142" s="152"/>
    </row>
    <row r="143" spans="1:180" s="168" customFormat="1" ht="30" customHeight="1" thickTop="1" thickBot="1" x14ac:dyDescent="0.3">
      <c r="A143" s="639" t="s">
        <v>0</v>
      </c>
      <c r="B143" s="639" t="s">
        <v>1</v>
      </c>
      <c r="C143" s="639" t="s">
        <v>2569</v>
      </c>
      <c r="D143" s="636" t="s">
        <v>1961</v>
      </c>
      <c r="E143" s="637"/>
      <c r="F143" s="637"/>
      <c r="G143" s="638"/>
      <c r="H143" s="636" t="s">
        <v>3</v>
      </c>
      <c r="I143" s="637"/>
      <c r="J143" s="636" t="s">
        <v>1962</v>
      </c>
      <c r="K143" s="637"/>
      <c r="L143" s="637"/>
      <c r="M143" s="638"/>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row>
    <row r="144" spans="1:180" s="152" customFormat="1" ht="34.5" customHeight="1" thickTop="1" thickBot="1" x14ac:dyDescent="0.3">
      <c r="A144" s="661"/>
      <c r="B144" s="661"/>
      <c r="C144" s="661"/>
      <c r="D144" s="406" t="s">
        <v>4</v>
      </c>
      <c r="E144" s="406" t="s">
        <v>5</v>
      </c>
      <c r="F144" s="406" t="s">
        <v>6</v>
      </c>
      <c r="G144" s="406" t="s">
        <v>7</v>
      </c>
      <c r="H144" s="406" t="s">
        <v>2</v>
      </c>
      <c r="I144" s="406" t="s">
        <v>3</v>
      </c>
      <c r="J144" s="406" t="s">
        <v>8</v>
      </c>
      <c r="K144" s="406" t="s">
        <v>9</v>
      </c>
      <c r="L144" s="406" t="s">
        <v>1963</v>
      </c>
      <c r="M144" s="406" t="s">
        <v>1964</v>
      </c>
    </row>
    <row r="145" spans="1:180" s="150" customFormat="1" ht="63" customHeight="1" thickTop="1" thickBot="1" x14ac:dyDescent="0.3">
      <c r="A145" s="307" t="s">
        <v>2480</v>
      </c>
      <c r="B145" s="625" t="s">
        <v>2545</v>
      </c>
      <c r="C145" s="413" t="s">
        <v>18</v>
      </c>
      <c r="D145" s="418">
        <v>2</v>
      </c>
      <c r="E145" s="478">
        <v>30</v>
      </c>
      <c r="F145" s="478">
        <v>3</v>
      </c>
      <c r="G145" s="478">
        <v>848</v>
      </c>
      <c r="H145" s="483">
        <v>1788333324</v>
      </c>
      <c r="I145" s="483">
        <v>1054502700</v>
      </c>
      <c r="J145" s="426" t="s">
        <v>1067</v>
      </c>
      <c r="K145" s="418" t="s">
        <v>20</v>
      </c>
      <c r="L145" s="478">
        <v>1325</v>
      </c>
      <c r="M145" s="478">
        <v>785</v>
      </c>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c r="BP145" s="152"/>
      <c r="BQ145" s="152"/>
      <c r="BR145" s="152"/>
      <c r="BS145" s="152"/>
      <c r="BT145" s="152"/>
      <c r="BU145" s="152"/>
      <c r="BV145" s="152"/>
      <c r="BW145" s="152"/>
      <c r="BX145" s="152"/>
      <c r="BY145" s="152"/>
      <c r="BZ145" s="152"/>
      <c r="CA145" s="152"/>
      <c r="CB145" s="152"/>
      <c r="CC145" s="152"/>
      <c r="CD145" s="152"/>
      <c r="CE145" s="152"/>
      <c r="CF145" s="152"/>
      <c r="CG145" s="152"/>
      <c r="CH145" s="152"/>
      <c r="CI145" s="152"/>
      <c r="CJ145" s="152"/>
      <c r="CK145" s="152"/>
      <c r="CL145" s="152"/>
      <c r="CM145" s="152"/>
      <c r="CN145" s="152"/>
      <c r="CO145" s="152"/>
      <c r="CP145" s="152"/>
      <c r="CQ145" s="152"/>
      <c r="CR145" s="152"/>
      <c r="CS145" s="152"/>
      <c r="CT145" s="152"/>
      <c r="CU145" s="152"/>
      <c r="CV145" s="152"/>
      <c r="CW145" s="152"/>
      <c r="CX145" s="152"/>
      <c r="CY145" s="152"/>
      <c r="CZ145" s="152"/>
      <c r="DA145" s="152"/>
      <c r="DB145" s="152"/>
      <c r="DC145" s="152"/>
      <c r="DD145" s="152"/>
      <c r="DE145" s="152"/>
      <c r="DF145" s="152"/>
      <c r="DG145" s="152"/>
      <c r="DH145" s="152"/>
      <c r="DI145" s="152"/>
      <c r="DJ145" s="152"/>
      <c r="DK145" s="152"/>
      <c r="DL145" s="152"/>
      <c r="DM145" s="152"/>
      <c r="DN145" s="152"/>
      <c r="DO145" s="152"/>
      <c r="DP145" s="152"/>
      <c r="DQ145" s="152"/>
      <c r="DR145" s="152"/>
      <c r="DS145" s="152"/>
      <c r="DT145" s="152"/>
      <c r="DU145" s="152"/>
      <c r="DV145" s="152"/>
      <c r="DW145" s="152"/>
      <c r="DX145" s="152"/>
      <c r="DY145" s="152"/>
      <c r="DZ145" s="152"/>
      <c r="EA145" s="152"/>
      <c r="EB145" s="152"/>
      <c r="EC145" s="152"/>
      <c r="ED145" s="152"/>
      <c r="EE145" s="152"/>
      <c r="EF145" s="152"/>
      <c r="EG145" s="152"/>
      <c r="EH145" s="152"/>
      <c r="EI145" s="152"/>
      <c r="EJ145" s="152"/>
      <c r="EK145" s="152"/>
      <c r="EL145" s="152"/>
      <c r="EM145" s="152"/>
      <c r="EN145" s="152"/>
      <c r="EO145" s="152"/>
      <c r="EP145" s="152"/>
      <c r="EQ145" s="152"/>
      <c r="ER145" s="152"/>
      <c r="ES145" s="152"/>
      <c r="ET145" s="152"/>
      <c r="EU145" s="152"/>
      <c r="EV145" s="152"/>
      <c r="EW145" s="152"/>
      <c r="EX145" s="152"/>
      <c r="EY145" s="152"/>
      <c r="EZ145" s="152"/>
      <c r="FA145" s="152"/>
      <c r="FB145" s="152"/>
      <c r="FC145" s="152"/>
      <c r="FD145" s="152"/>
      <c r="FE145" s="152"/>
      <c r="FF145" s="152"/>
      <c r="FG145" s="152"/>
      <c r="FH145" s="152"/>
      <c r="FI145" s="152"/>
      <c r="FJ145" s="152"/>
      <c r="FK145" s="152"/>
      <c r="FL145" s="152"/>
      <c r="FM145" s="152"/>
      <c r="FN145" s="152"/>
      <c r="FO145" s="152"/>
      <c r="FP145" s="152"/>
      <c r="FQ145" s="152"/>
      <c r="FR145" s="152"/>
      <c r="FS145" s="152"/>
      <c r="FT145" s="152"/>
      <c r="FU145" s="152"/>
      <c r="FV145" s="152"/>
      <c r="FW145" s="152"/>
      <c r="FX145" s="152"/>
    </row>
    <row r="146" spans="1:180" s="150" customFormat="1" ht="27" customHeight="1" thickTop="1" thickBot="1" x14ac:dyDescent="0.3">
      <c r="A146" s="307" t="s">
        <v>2480</v>
      </c>
      <c r="B146" s="625" t="s">
        <v>2545</v>
      </c>
      <c r="C146" s="654" t="s">
        <v>1051</v>
      </c>
      <c r="D146" s="478">
        <v>2</v>
      </c>
      <c r="E146" s="478">
        <v>30</v>
      </c>
      <c r="F146" s="478">
        <v>3</v>
      </c>
      <c r="G146" s="478">
        <v>520</v>
      </c>
      <c r="H146" s="483">
        <f>763386434+753704790</f>
        <v>1517091224</v>
      </c>
      <c r="I146" s="483">
        <v>950463858</v>
      </c>
      <c r="J146" s="426" t="s">
        <v>1068</v>
      </c>
      <c r="K146" s="418" t="s">
        <v>55</v>
      </c>
      <c r="L146" s="418">
        <v>13</v>
      </c>
      <c r="M146" s="418">
        <v>8</v>
      </c>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52"/>
      <c r="CG146" s="152"/>
      <c r="CH146" s="152"/>
      <c r="CI146" s="152"/>
      <c r="CJ146" s="152"/>
      <c r="CK146" s="152"/>
      <c r="CL146" s="152"/>
      <c r="CM146" s="152"/>
      <c r="CN146" s="152"/>
      <c r="CO146" s="152"/>
      <c r="CP146" s="152"/>
      <c r="CQ146" s="152"/>
      <c r="CR146" s="152"/>
      <c r="CS146" s="152"/>
      <c r="CT146" s="152"/>
      <c r="CU146" s="152"/>
      <c r="CV146" s="152"/>
      <c r="CW146" s="152"/>
      <c r="CX146" s="152"/>
      <c r="CY146" s="152"/>
      <c r="CZ146" s="152"/>
      <c r="DA146" s="152"/>
      <c r="DB146" s="152"/>
      <c r="DC146" s="152"/>
      <c r="DD146" s="152"/>
      <c r="DE146" s="152"/>
      <c r="DF146" s="152"/>
      <c r="DG146" s="152"/>
      <c r="DH146" s="152"/>
      <c r="DI146" s="152"/>
      <c r="DJ146" s="152"/>
      <c r="DK146" s="152"/>
      <c r="DL146" s="152"/>
      <c r="DM146" s="152"/>
      <c r="DN146" s="152"/>
      <c r="DO146" s="152"/>
      <c r="DP146" s="152"/>
      <c r="DQ146" s="152"/>
      <c r="DR146" s="152"/>
      <c r="DS146" s="152"/>
      <c r="DT146" s="152"/>
      <c r="DU146" s="152"/>
      <c r="DV146" s="152"/>
      <c r="DW146" s="152"/>
      <c r="DX146" s="152"/>
      <c r="DY146" s="152"/>
      <c r="DZ146" s="152"/>
      <c r="EA146" s="152"/>
      <c r="EB146" s="152"/>
      <c r="EC146" s="152"/>
      <c r="ED146" s="152"/>
      <c r="EE146" s="152"/>
      <c r="EF146" s="152"/>
      <c r="EG146" s="152"/>
      <c r="EH146" s="152"/>
      <c r="EI146" s="152"/>
      <c r="EJ146" s="152"/>
      <c r="EK146" s="152"/>
      <c r="EL146" s="152"/>
      <c r="EM146" s="152"/>
      <c r="EN146" s="152"/>
      <c r="EO146" s="152"/>
      <c r="EP146" s="152"/>
      <c r="EQ146" s="152"/>
      <c r="ER146" s="152"/>
      <c r="ES146" s="152"/>
      <c r="ET146" s="152"/>
      <c r="EU146" s="152"/>
      <c r="EV146" s="152"/>
      <c r="EW146" s="152"/>
      <c r="EX146" s="152"/>
      <c r="EY146" s="152"/>
      <c r="EZ146" s="152"/>
      <c r="FA146" s="152"/>
      <c r="FB146" s="152"/>
      <c r="FC146" s="152"/>
      <c r="FD146" s="152"/>
      <c r="FE146" s="152"/>
      <c r="FF146" s="152"/>
      <c r="FG146" s="152"/>
      <c r="FH146" s="152"/>
      <c r="FI146" s="152"/>
      <c r="FJ146" s="152"/>
      <c r="FK146" s="152"/>
      <c r="FL146" s="152"/>
      <c r="FM146" s="152"/>
      <c r="FN146" s="152"/>
      <c r="FO146" s="152"/>
      <c r="FP146" s="152"/>
      <c r="FQ146" s="152"/>
      <c r="FR146" s="152"/>
      <c r="FS146" s="152"/>
      <c r="FT146" s="152"/>
      <c r="FU146" s="152"/>
      <c r="FV146" s="152"/>
      <c r="FW146" s="152"/>
      <c r="FX146" s="152"/>
    </row>
    <row r="147" spans="1:180" s="150" customFormat="1" ht="27" customHeight="1" thickTop="1" thickBot="1" x14ac:dyDescent="0.3">
      <c r="A147" s="307" t="s">
        <v>2480</v>
      </c>
      <c r="B147" s="625" t="s">
        <v>2545</v>
      </c>
      <c r="C147" s="654"/>
      <c r="D147" s="478">
        <v>2</v>
      </c>
      <c r="E147" s="478">
        <v>30</v>
      </c>
      <c r="F147" s="478">
        <v>3</v>
      </c>
      <c r="G147" s="478">
        <v>520</v>
      </c>
      <c r="H147" s="483">
        <v>385500000</v>
      </c>
      <c r="I147" s="483">
        <v>0</v>
      </c>
      <c r="J147" s="426" t="s">
        <v>1069</v>
      </c>
      <c r="K147" s="418" t="s">
        <v>55</v>
      </c>
      <c r="L147" s="418">
        <v>8</v>
      </c>
      <c r="M147" s="478">
        <v>0</v>
      </c>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c r="BV147" s="152"/>
      <c r="BW147" s="152"/>
      <c r="BX147" s="152"/>
      <c r="BY147" s="152"/>
      <c r="BZ147" s="152"/>
      <c r="CA147" s="152"/>
      <c r="CB147" s="152"/>
      <c r="CC147" s="152"/>
      <c r="CD147" s="152"/>
      <c r="CE147" s="152"/>
      <c r="CF147" s="152"/>
      <c r="CG147" s="152"/>
      <c r="CH147" s="152"/>
      <c r="CI147" s="152"/>
      <c r="CJ147" s="152"/>
      <c r="CK147" s="152"/>
      <c r="CL147" s="152"/>
      <c r="CM147" s="152"/>
      <c r="CN147" s="152"/>
      <c r="CO147" s="152"/>
      <c r="CP147" s="152"/>
      <c r="CQ147" s="152"/>
      <c r="CR147" s="152"/>
      <c r="CS147" s="152"/>
      <c r="CT147" s="152"/>
      <c r="CU147" s="152"/>
      <c r="CV147" s="152"/>
      <c r="CW147" s="152"/>
      <c r="CX147" s="152"/>
      <c r="CY147" s="152"/>
      <c r="CZ147" s="152"/>
      <c r="DA147" s="152"/>
      <c r="DB147" s="152"/>
      <c r="DC147" s="152"/>
      <c r="DD147" s="152"/>
      <c r="DE147" s="152"/>
      <c r="DF147" s="152"/>
      <c r="DG147" s="152"/>
      <c r="DH147" s="152"/>
      <c r="DI147" s="152"/>
      <c r="DJ147" s="152"/>
      <c r="DK147" s="152"/>
      <c r="DL147" s="152"/>
      <c r="DM147" s="152"/>
      <c r="DN147" s="152"/>
      <c r="DO147" s="152"/>
      <c r="DP147" s="152"/>
      <c r="DQ147" s="152"/>
      <c r="DR147" s="152"/>
      <c r="DS147" s="152"/>
      <c r="DT147" s="152"/>
      <c r="DU147" s="152"/>
      <c r="DV147" s="152"/>
      <c r="DW147" s="152"/>
      <c r="DX147" s="152"/>
      <c r="DY147" s="152"/>
      <c r="DZ147" s="152"/>
      <c r="EA147" s="152"/>
      <c r="EB147" s="152"/>
      <c r="EC147" s="152"/>
      <c r="ED147" s="152"/>
      <c r="EE147" s="152"/>
      <c r="EF147" s="152"/>
      <c r="EG147" s="152"/>
      <c r="EH147" s="152"/>
      <c r="EI147" s="152"/>
      <c r="EJ147" s="152"/>
      <c r="EK147" s="152"/>
      <c r="EL147" s="152"/>
      <c r="EM147" s="152"/>
      <c r="EN147" s="152"/>
      <c r="EO147" s="152"/>
      <c r="EP147" s="152"/>
      <c r="EQ147" s="152"/>
      <c r="ER147" s="152"/>
      <c r="ES147" s="152"/>
      <c r="ET147" s="152"/>
      <c r="EU147" s="152"/>
      <c r="EV147" s="152"/>
      <c r="EW147" s="152"/>
      <c r="EX147" s="152"/>
      <c r="EY147" s="152"/>
      <c r="EZ147" s="152"/>
      <c r="FA147" s="152"/>
      <c r="FB147" s="152"/>
      <c r="FC147" s="152"/>
      <c r="FD147" s="152"/>
      <c r="FE147" s="152"/>
      <c r="FF147" s="152"/>
      <c r="FG147" s="152"/>
      <c r="FH147" s="152"/>
      <c r="FI147" s="152"/>
      <c r="FJ147" s="152"/>
      <c r="FK147" s="152"/>
      <c r="FL147" s="152"/>
      <c r="FM147" s="152"/>
      <c r="FN147" s="152"/>
      <c r="FO147" s="152"/>
      <c r="FP147" s="152"/>
      <c r="FQ147" s="152"/>
      <c r="FR147" s="152"/>
      <c r="FS147" s="152"/>
      <c r="FT147" s="152"/>
      <c r="FU147" s="152"/>
      <c r="FV147" s="152"/>
      <c r="FW147" s="152"/>
      <c r="FX147" s="152"/>
    </row>
    <row r="148" spans="1:180" s="150" customFormat="1" ht="27" customHeight="1" thickTop="1" thickBot="1" x14ac:dyDescent="0.3">
      <c r="A148" s="307" t="s">
        <v>2480</v>
      </c>
      <c r="B148" s="625" t="s">
        <v>2545</v>
      </c>
      <c r="C148" s="654"/>
      <c r="D148" s="478">
        <v>2</v>
      </c>
      <c r="E148" s="478">
        <v>30</v>
      </c>
      <c r="F148" s="478">
        <v>3</v>
      </c>
      <c r="G148" s="478">
        <v>520</v>
      </c>
      <c r="H148" s="483">
        <v>570000000</v>
      </c>
      <c r="I148" s="483">
        <v>0</v>
      </c>
      <c r="J148" s="426" t="s">
        <v>1070</v>
      </c>
      <c r="K148" s="418" t="s">
        <v>25</v>
      </c>
      <c r="L148" s="418">
        <v>6</v>
      </c>
      <c r="M148" s="418">
        <v>0</v>
      </c>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c r="BI148" s="152"/>
      <c r="BJ148" s="152"/>
      <c r="BK148" s="152"/>
      <c r="BL148" s="152"/>
      <c r="BM148" s="152"/>
      <c r="BN148" s="152"/>
      <c r="BO148" s="152"/>
      <c r="BP148" s="152"/>
      <c r="BQ148" s="152"/>
      <c r="BR148" s="152"/>
      <c r="BS148" s="152"/>
      <c r="BT148" s="152"/>
      <c r="BU148" s="152"/>
      <c r="BV148" s="152"/>
      <c r="BW148" s="152"/>
      <c r="BX148" s="152"/>
      <c r="BY148" s="152"/>
      <c r="BZ148" s="152"/>
      <c r="CA148" s="152"/>
      <c r="CB148" s="152"/>
      <c r="CC148" s="152"/>
      <c r="CD148" s="152"/>
      <c r="CE148" s="152"/>
      <c r="CF148" s="152"/>
      <c r="CG148" s="152"/>
      <c r="CH148" s="152"/>
      <c r="CI148" s="152"/>
      <c r="CJ148" s="152"/>
      <c r="CK148" s="152"/>
      <c r="CL148" s="152"/>
      <c r="CM148" s="152"/>
      <c r="CN148" s="152"/>
      <c r="CO148" s="152"/>
      <c r="CP148" s="152"/>
      <c r="CQ148" s="152"/>
      <c r="CR148" s="152"/>
      <c r="CS148" s="152"/>
      <c r="CT148" s="152"/>
      <c r="CU148" s="152"/>
      <c r="CV148" s="152"/>
      <c r="CW148" s="152"/>
      <c r="CX148" s="152"/>
      <c r="CY148" s="152"/>
      <c r="CZ148" s="152"/>
      <c r="DA148" s="152"/>
      <c r="DB148" s="152"/>
      <c r="DC148" s="152"/>
      <c r="DD148" s="152"/>
      <c r="DE148" s="152"/>
      <c r="DF148" s="152"/>
      <c r="DG148" s="152"/>
      <c r="DH148" s="152"/>
      <c r="DI148" s="152"/>
      <c r="DJ148" s="152"/>
      <c r="DK148" s="152"/>
      <c r="DL148" s="152"/>
      <c r="DM148" s="152"/>
      <c r="DN148" s="152"/>
      <c r="DO148" s="152"/>
      <c r="DP148" s="152"/>
      <c r="DQ148" s="152"/>
      <c r="DR148" s="152"/>
      <c r="DS148" s="152"/>
      <c r="DT148" s="152"/>
      <c r="DU148" s="152"/>
      <c r="DV148" s="152"/>
      <c r="DW148" s="152"/>
      <c r="DX148" s="152"/>
      <c r="DY148" s="152"/>
      <c r="DZ148" s="152"/>
      <c r="EA148" s="152"/>
      <c r="EB148" s="152"/>
      <c r="EC148" s="152"/>
      <c r="ED148" s="152"/>
      <c r="EE148" s="152"/>
      <c r="EF148" s="152"/>
      <c r="EG148" s="152"/>
      <c r="EH148" s="152"/>
      <c r="EI148" s="152"/>
      <c r="EJ148" s="152"/>
      <c r="EK148" s="152"/>
      <c r="EL148" s="152"/>
      <c r="EM148" s="152"/>
      <c r="EN148" s="152"/>
      <c r="EO148" s="152"/>
      <c r="EP148" s="152"/>
      <c r="EQ148" s="152"/>
      <c r="ER148" s="152"/>
      <c r="ES148" s="152"/>
      <c r="ET148" s="152"/>
      <c r="EU148" s="152"/>
      <c r="EV148" s="152"/>
      <c r="EW148" s="152"/>
      <c r="EX148" s="152"/>
      <c r="EY148" s="152"/>
      <c r="EZ148" s="152"/>
      <c r="FA148" s="152"/>
      <c r="FB148" s="152"/>
      <c r="FC148" s="152"/>
      <c r="FD148" s="152"/>
      <c r="FE148" s="152"/>
      <c r="FF148" s="152"/>
      <c r="FG148" s="152"/>
      <c r="FH148" s="152"/>
      <c r="FI148" s="152"/>
      <c r="FJ148" s="152"/>
      <c r="FK148" s="152"/>
      <c r="FL148" s="152"/>
      <c r="FM148" s="152"/>
      <c r="FN148" s="152"/>
      <c r="FO148" s="152"/>
      <c r="FP148" s="152"/>
      <c r="FQ148" s="152"/>
      <c r="FR148" s="152"/>
      <c r="FS148" s="152"/>
      <c r="FT148" s="152"/>
      <c r="FU148" s="152"/>
      <c r="FV148" s="152"/>
      <c r="FW148" s="152"/>
      <c r="FX148" s="152"/>
    </row>
    <row r="149" spans="1:180" s="150" customFormat="1" ht="27" customHeight="1" thickTop="1" thickBot="1" x14ac:dyDescent="0.3">
      <c r="A149" s="307" t="s">
        <v>2480</v>
      </c>
      <c r="B149" s="625" t="s">
        <v>2545</v>
      </c>
      <c r="C149" s="654"/>
      <c r="D149" s="478">
        <v>2</v>
      </c>
      <c r="E149" s="478">
        <v>30</v>
      </c>
      <c r="F149" s="478">
        <v>3</v>
      </c>
      <c r="G149" s="478">
        <v>520</v>
      </c>
      <c r="H149" s="483">
        <v>363220020</v>
      </c>
      <c r="I149" s="483">
        <v>242146680</v>
      </c>
      <c r="J149" s="426" t="s">
        <v>1071</v>
      </c>
      <c r="K149" s="418" t="s">
        <v>55</v>
      </c>
      <c r="L149" s="418">
        <v>3</v>
      </c>
      <c r="M149" s="418">
        <v>2</v>
      </c>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c r="BI149" s="152"/>
      <c r="BJ149" s="152"/>
      <c r="BK149" s="152"/>
      <c r="BL149" s="152"/>
      <c r="BM149" s="152"/>
      <c r="BN149" s="152"/>
      <c r="BO149" s="152"/>
      <c r="BP149" s="152"/>
      <c r="BQ149" s="152"/>
      <c r="BR149" s="152"/>
      <c r="BS149" s="152"/>
      <c r="BT149" s="152"/>
      <c r="BU149" s="152"/>
      <c r="BV149" s="152"/>
      <c r="BW149" s="152"/>
      <c r="BX149" s="152"/>
      <c r="BY149" s="152"/>
      <c r="BZ149" s="152"/>
      <c r="CA149" s="152"/>
      <c r="CB149" s="152"/>
      <c r="CC149" s="152"/>
      <c r="CD149" s="152"/>
      <c r="CE149" s="152"/>
      <c r="CF149" s="152"/>
      <c r="CG149" s="152"/>
      <c r="CH149" s="152"/>
      <c r="CI149" s="152"/>
      <c r="CJ149" s="152"/>
      <c r="CK149" s="152"/>
      <c r="CL149" s="152"/>
      <c r="CM149" s="152"/>
      <c r="CN149" s="152"/>
      <c r="CO149" s="152"/>
      <c r="CP149" s="152"/>
      <c r="CQ149" s="152"/>
      <c r="CR149" s="152"/>
      <c r="CS149" s="152"/>
      <c r="CT149" s="152"/>
      <c r="CU149" s="152"/>
      <c r="CV149" s="152"/>
      <c r="CW149" s="152"/>
      <c r="CX149" s="152"/>
      <c r="CY149" s="152"/>
      <c r="CZ149" s="152"/>
      <c r="DA149" s="152"/>
      <c r="DB149" s="152"/>
      <c r="DC149" s="152"/>
      <c r="DD149" s="152"/>
      <c r="DE149" s="152"/>
      <c r="DF149" s="152"/>
      <c r="DG149" s="152"/>
      <c r="DH149" s="152"/>
      <c r="DI149" s="152"/>
      <c r="DJ149" s="152"/>
      <c r="DK149" s="152"/>
      <c r="DL149" s="152"/>
      <c r="DM149" s="152"/>
      <c r="DN149" s="152"/>
      <c r="DO149" s="152"/>
      <c r="DP149" s="152"/>
      <c r="DQ149" s="152"/>
      <c r="DR149" s="152"/>
      <c r="DS149" s="152"/>
      <c r="DT149" s="152"/>
      <c r="DU149" s="152"/>
      <c r="DV149" s="152"/>
      <c r="DW149" s="152"/>
      <c r="DX149" s="152"/>
      <c r="DY149" s="152"/>
      <c r="DZ149" s="152"/>
      <c r="EA149" s="152"/>
      <c r="EB149" s="152"/>
      <c r="EC149" s="152"/>
      <c r="ED149" s="152"/>
      <c r="EE149" s="152"/>
      <c r="EF149" s="152"/>
      <c r="EG149" s="152"/>
      <c r="EH149" s="152"/>
      <c r="EI149" s="152"/>
      <c r="EJ149" s="152"/>
      <c r="EK149" s="152"/>
      <c r="EL149" s="152"/>
      <c r="EM149" s="152"/>
      <c r="EN149" s="152"/>
      <c r="EO149" s="152"/>
      <c r="EP149" s="152"/>
      <c r="EQ149" s="152"/>
      <c r="ER149" s="152"/>
      <c r="ES149" s="152"/>
      <c r="ET149" s="152"/>
      <c r="EU149" s="152"/>
      <c r="EV149" s="152"/>
      <c r="EW149" s="152"/>
      <c r="EX149" s="152"/>
      <c r="EY149" s="152"/>
      <c r="EZ149" s="152"/>
      <c r="FA149" s="152"/>
      <c r="FB149" s="152"/>
      <c r="FC149" s="152"/>
      <c r="FD149" s="152"/>
      <c r="FE149" s="152"/>
      <c r="FF149" s="152"/>
      <c r="FG149" s="152"/>
      <c r="FH149" s="152"/>
      <c r="FI149" s="152"/>
      <c r="FJ149" s="152"/>
      <c r="FK149" s="152"/>
      <c r="FL149" s="152"/>
      <c r="FM149" s="152"/>
      <c r="FN149" s="152"/>
      <c r="FO149" s="152"/>
      <c r="FP149" s="152"/>
      <c r="FQ149" s="152"/>
      <c r="FR149" s="152"/>
      <c r="FS149" s="152"/>
      <c r="FT149" s="152"/>
      <c r="FU149" s="152"/>
      <c r="FV149" s="152"/>
      <c r="FW149" s="152"/>
      <c r="FX149" s="152"/>
    </row>
    <row r="150" spans="1:180" s="150" customFormat="1" ht="27" customHeight="1" thickTop="1" thickBot="1" x14ac:dyDescent="0.3">
      <c r="A150" s="307" t="s">
        <v>2480</v>
      </c>
      <c r="B150" s="625" t="s">
        <v>2545</v>
      </c>
      <c r="C150" s="654"/>
      <c r="D150" s="478">
        <v>2</v>
      </c>
      <c r="E150" s="478">
        <v>30</v>
      </c>
      <c r="F150" s="478">
        <v>3</v>
      </c>
      <c r="G150" s="478">
        <v>520</v>
      </c>
      <c r="H150" s="483">
        <f>510500000+323016339</f>
        <v>833516339</v>
      </c>
      <c r="I150" s="483">
        <v>0</v>
      </c>
      <c r="J150" s="426" t="s">
        <v>1072</v>
      </c>
      <c r="K150" s="418" t="s">
        <v>55</v>
      </c>
      <c r="L150" s="418">
        <v>10</v>
      </c>
      <c r="M150" s="418">
        <v>0</v>
      </c>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2"/>
      <c r="BU150" s="152"/>
      <c r="BV150" s="152"/>
      <c r="BW150" s="152"/>
      <c r="BX150" s="152"/>
      <c r="BY150" s="152"/>
      <c r="BZ150" s="152"/>
      <c r="CA150" s="152"/>
      <c r="CB150" s="152"/>
      <c r="CC150" s="152"/>
      <c r="CD150" s="152"/>
      <c r="CE150" s="152"/>
      <c r="CF150" s="152"/>
      <c r="CG150" s="152"/>
      <c r="CH150" s="152"/>
      <c r="CI150" s="152"/>
      <c r="CJ150" s="152"/>
      <c r="CK150" s="152"/>
      <c r="CL150" s="152"/>
      <c r="CM150" s="152"/>
      <c r="CN150" s="152"/>
      <c r="CO150" s="152"/>
      <c r="CP150" s="152"/>
      <c r="CQ150" s="152"/>
      <c r="CR150" s="152"/>
      <c r="CS150" s="152"/>
      <c r="CT150" s="152"/>
      <c r="CU150" s="152"/>
      <c r="CV150" s="152"/>
      <c r="CW150" s="152"/>
      <c r="CX150" s="152"/>
      <c r="CY150" s="152"/>
      <c r="CZ150" s="152"/>
      <c r="DA150" s="152"/>
      <c r="DB150" s="152"/>
      <c r="DC150" s="152"/>
      <c r="DD150" s="152"/>
      <c r="DE150" s="152"/>
      <c r="DF150" s="152"/>
      <c r="DG150" s="152"/>
      <c r="DH150" s="152"/>
      <c r="DI150" s="152"/>
      <c r="DJ150" s="152"/>
      <c r="DK150" s="152"/>
      <c r="DL150" s="152"/>
      <c r="DM150" s="152"/>
      <c r="DN150" s="152"/>
      <c r="DO150" s="152"/>
      <c r="DP150" s="152"/>
      <c r="DQ150" s="152"/>
      <c r="DR150" s="152"/>
      <c r="DS150" s="152"/>
      <c r="DT150" s="152"/>
      <c r="DU150" s="152"/>
      <c r="DV150" s="152"/>
      <c r="DW150" s="152"/>
      <c r="DX150" s="152"/>
      <c r="DY150" s="152"/>
      <c r="DZ150" s="152"/>
      <c r="EA150" s="152"/>
      <c r="EB150" s="152"/>
      <c r="EC150" s="152"/>
      <c r="ED150" s="152"/>
      <c r="EE150" s="152"/>
      <c r="EF150" s="152"/>
      <c r="EG150" s="152"/>
      <c r="EH150" s="152"/>
      <c r="EI150" s="152"/>
      <c r="EJ150" s="152"/>
      <c r="EK150" s="152"/>
      <c r="EL150" s="152"/>
      <c r="EM150" s="152"/>
      <c r="EN150" s="152"/>
      <c r="EO150" s="152"/>
      <c r="EP150" s="152"/>
      <c r="EQ150" s="152"/>
      <c r="ER150" s="152"/>
      <c r="ES150" s="152"/>
      <c r="ET150" s="152"/>
      <c r="EU150" s="152"/>
      <c r="EV150" s="152"/>
      <c r="EW150" s="152"/>
      <c r="EX150" s="152"/>
      <c r="EY150" s="152"/>
      <c r="EZ150" s="152"/>
      <c r="FA150" s="152"/>
      <c r="FB150" s="152"/>
      <c r="FC150" s="152"/>
      <c r="FD150" s="152"/>
      <c r="FE150" s="152"/>
      <c r="FF150" s="152"/>
      <c r="FG150" s="152"/>
      <c r="FH150" s="152"/>
      <c r="FI150" s="152"/>
      <c r="FJ150" s="152"/>
      <c r="FK150" s="152"/>
      <c r="FL150" s="152"/>
      <c r="FM150" s="152"/>
      <c r="FN150" s="152"/>
      <c r="FO150" s="152"/>
      <c r="FP150" s="152"/>
      <c r="FQ150" s="152"/>
      <c r="FR150" s="152"/>
      <c r="FS150" s="152"/>
      <c r="FT150" s="152"/>
      <c r="FU150" s="152"/>
      <c r="FV150" s="152"/>
      <c r="FW150" s="152"/>
      <c r="FX150" s="152"/>
    </row>
    <row r="151" spans="1:180" s="150" customFormat="1" ht="36.75" customHeight="1" thickTop="1" thickBot="1" x14ac:dyDescent="0.3">
      <c r="A151" s="307" t="s">
        <v>2480</v>
      </c>
      <c r="B151" s="625" t="s">
        <v>2545</v>
      </c>
      <c r="C151" s="413" t="s">
        <v>90</v>
      </c>
      <c r="D151" s="478">
        <v>2</v>
      </c>
      <c r="E151" s="478">
        <v>30</v>
      </c>
      <c r="F151" s="478">
        <v>3</v>
      </c>
      <c r="G151" s="478">
        <v>520</v>
      </c>
      <c r="H151" s="483">
        <f>730420306+269180282</f>
        <v>999600588</v>
      </c>
      <c r="I151" s="483">
        <v>707084000</v>
      </c>
      <c r="J151" s="426" t="s">
        <v>1073</v>
      </c>
      <c r="K151" s="418" t="s">
        <v>11</v>
      </c>
      <c r="L151" s="418">
        <v>22213</v>
      </c>
      <c r="M151" s="418">
        <v>15713</v>
      </c>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c r="BQ151" s="152"/>
      <c r="BR151" s="152"/>
      <c r="BS151" s="152"/>
      <c r="BT151" s="152"/>
      <c r="BU151" s="152"/>
      <c r="BV151" s="152"/>
      <c r="BW151" s="152"/>
      <c r="BX151" s="152"/>
      <c r="BY151" s="152"/>
      <c r="BZ151" s="152"/>
      <c r="CA151" s="152"/>
      <c r="CB151" s="152"/>
      <c r="CC151" s="152"/>
      <c r="CD151" s="152"/>
      <c r="CE151" s="152"/>
      <c r="CF151" s="152"/>
      <c r="CG151" s="152"/>
      <c r="CH151" s="152"/>
      <c r="CI151" s="152"/>
      <c r="CJ151" s="152"/>
      <c r="CK151" s="152"/>
      <c r="CL151" s="152"/>
      <c r="CM151" s="152"/>
      <c r="CN151" s="152"/>
      <c r="CO151" s="152"/>
      <c r="CP151" s="152"/>
      <c r="CQ151" s="152"/>
      <c r="CR151" s="152"/>
      <c r="CS151" s="152"/>
      <c r="CT151" s="152"/>
      <c r="CU151" s="152"/>
      <c r="CV151" s="152"/>
      <c r="CW151" s="152"/>
      <c r="CX151" s="152"/>
      <c r="CY151" s="152"/>
      <c r="CZ151" s="152"/>
      <c r="DA151" s="152"/>
      <c r="DB151" s="152"/>
      <c r="DC151" s="152"/>
      <c r="DD151" s="152"/>
      <c r="DE151" s="152"/>
      <c r="DF151" s="152"/>
      <c r="DG151" s="152"/>
      <c r="DH151" s="152"/>
      <c r="DI151" s="152"/>
      <c r="DJ151" s="152"/>
      <c r="DK151" s="152"/>
      <c r="DL151" s="152"/>
      <c r="DM151" s="152"/>
      <c r="DN151" s="152"/>
      <c r="DO151" s="152"/>
      <c r="DP151" s="152"/>
      <c r="DQ151" s="152"/>
      <c r="DR151" s="152"/>
      <c r="DS151" s="152"/>
      <c r="DT151" s="152"/>
      <c r="DU151" s="152"/>
      <c r="DV151" s="152"/>
      <c r="DW151" s="152"/>
      <c r="DX151" s="152"/>
      <c r="DY151" s="152"/>
      <c r="DZ151" s="152"/>
      <c r="EA151" s="152"/>
      <c r="EB151" s="152"/>
      <c r="EC151" s="152"/>
      <c r="ED151" s="152"/>
      <c r="EE151" s="152"/>
      <c r="EF151" s="152"/>
      <c r="EG151" s="152"/>
      <c r="EH151" s="152"/>
      <c r="EI151" s="152"/>
      <c r="EJ151" s="152"/>
      <c r="EK151" s="152"/>
      <c r="EL151" s="152"/>
      <c r="EM151" s="152"/>
      <c r="EN151" s="152"/>
      <c r="EO151" s="152"/>
      <c r="EP151" s="152"/>
      <c r="EQ151" s="152"/>
      <c r="ER151" s="152"/>
      <c r="ES151" s="152"/>
      <c r="ET151" s="152"/>
      <c r="EU151" s="152"/>
      <c r="EV151" s="152"/>
      <c r="EW151" s="152"/>
      <c r="EX151" s="152"/>
      <c r="EY151" s="152"/>
      <c r="EZ151" s="152"/>
      <c r="FA151" s="152"/>
      <c r="FB151" s="152"/>
      <c r="FC151" s="152"/>
      <c r="FD151" s="152"/>
      <c r="FE151" s="152"/>
      <c r="FF151" s="152"/>
      <c r="FG151" s="152"/>
      <c r="FH151" s="152"/>
      <c r="FI151" s="152"/>
      <c r="FJ151" s="152"/>
      <c r="FK151" s="152"/>
      <c r="FL151" s="152"/>
      <c r="FM151" s="152"/>
      <c r="FN151" s="152"/>
      <c r="FO151" s="152"/>
      <c r="FP151" s="152"/>
      <c r="FQ151" s="152"/>
      <c r="FR151" s="152"/>
      <c r="FS151" s="152"/>
      <c r="FT151" s="152"/>
      <c r="FU151" s="152"/>
      <c r="FV151" s="152"/>
      <c r="FW151" s="152"/>
      <c r="FX151" s="152"/>
    </row>
    <row r="152" spans="1:180" s="150" customFormat="1" ht="27.75" customHeight="1" thickTop="1" thickBot="1" x14ac:dyDescent="0.3">
      <c r="A152" s="307" t="s">
        <v>2480</v>
      </c>
      <c r="B152" s="625" t="s">
        <v>2545</v>
      </c>
      <c r="C152" s="654" t="s">
        <v>1074</v>
      </c>
      <c r="D152" s="478">
        <v>2</v>
      </c>
      <c r="E152" s="478">
        <v>30</v>
      </c>
      <c r="F152" s="478">
        <v>3</v>
      </c>
      <c r="G152" s="478">
        <v>540</v>
      </c>
      <c r="H152" s="483">
        <v>78140000</v>
      </c>
      <c r="I152" s="483">
        <v>74760000</v>
      </c>
      <c r="J152" s="426" t="s">
        <v>1075</v>
      </c>
      <c r="K152" s="418" t="s">
        <v>46</v>
      </c>
      <c r="L152" s="418">
        <v>550</v>
      </c>
      <c r="M152" s="418">
        <v>530</v>
      </c>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2"/>
      <c r="BU152" s="152"/>
      <c r="BV152" s="152"/>
      <c r="BW152" s="152"/>
      <c r="BX152" s="152"/>
      <c r="BY152" s="152"/>
      <c r="BZ152" s="152"/>
      <c r="CA152" s="152"/>
      <c r="CB152" s="152"/>
      <c r="CC152" s="152"/>
      <c r="CD152" s="152"/>
      <c r="CE152" s="152"/>
      <c r="CF152" s="152"/>
      <c r="CG152" s="152"/>
      <c r="CH152" s="152"/>
      <c r="CI152" s="152"/>
      <c r="CJ152" s="152"/>
      <c r="CK152" s="152"/>
      <c r="CL152" s="152"/>
      <c r="CM152" s="152"/>
      <c r="CN152" s="152"/>
      <c r="CO152" s="152"/>
      <c r="CP152" s="152"/>
      <c r="CQ152" s="152"/>
      <c r="CR152" s="152"/>
      <c r="CS152" s="152"/>
      <c r="CT152" s="152"/>
      <c r="CU152" s="152"/>
      <c r="CV152" s="152"/>
      <c r="CW152" s="152"/>
      <c r="CX152" s="152"/>
      <c r="CY152" s="152"/>
      <c r="CZ152" s="152"/>
      <c r="DA152" s="152"/>
      <c r="DB152" s="152"/>
      <c r="DC152" s="152"/>
      <c r="DD152" s="152"/>
      <c r="DE152" s="152"/>
      <c r="DF152" s="152"/>
      <c r="DG152" s="152"/>
      <c r="DH152" s="152"/>
      <c r="DI152" s="152"/>
      <c r="DJ152" s="152"/>
      <c r="DK152" s="152"/>
      <c r="DL152" s="152"/>
      <c r="DM152" s="152"/>
      <c r="DN152" s="152"/>
      <c r="DO152" s="152"/>
      <c r="DP152" s="152"/>
      <c r="DQ152" s="152"/>
      <c r="DR152" s="152"/>
      <c r="DS152" s="152"/>
      <c r="DT152" s="152"/>
      <c r="DU152" s="152"/>
      <c r="DV152" s="152"/>
      <c r="DW152" s="152"/>
      <c r="DX152" s="152"/>
      <c r="DY152" s="152"/>
      <c r="DZ152" s="152"/>
      <c r="EA152" s="152"/>
      <c r="EB152" s="152"/>
      <c r="EC152" s="152"/>
      <c r="ED152" s="152"/>
      <c r="EE152" s="152"/>
      <c r="EF152" s="152"/>
      <c r="EG152" s="152"/>
      <c r="EH152" s="152"/>
      <c r="EI152" s="152"/>
      <c r="EJ152" s="152"/>
      <c r="EK152" s="152"/>
      <c r="EL152" s="152"/>
      <c r="EM152" s="152"/>
      <c r="EN152" s="152"/>
      <c r="EO152" s="152"/>
      <c r="EP152" s="152"/>
      <c r="EQ152" s="152"/>
      <c r="ER152" s="152"/>
      <c r="ES152" s="152"/>
      <c r="ET152" s="152"/>
      <c r="EU152" s="152"/>
      <c r="EV152" s="152"/>
      <c r="EW152" s="152"/>
      <c r="EX152" s="152"/>
      <c r="EY152" s="152"/>
      <c r="EZ152" s="152"/>
      <c r="FA152" s="152"/>
      <c r="FB152" s="152"/>
      <c r="FC152" s="152"/>
      <c r="FD152" s="152"/>
      <c r="FE152" s="152"/>
      <c r="FF152" s="152"/>
      <c r="FG152" s="152"/>
      <c r="FH152" s="152"/>
      <c r="FI152" s="152"/>
      <c r="FJ152" s="152"/>
      <c r="FK152" s="152"/>
      <c r="FL152" s="152"/>
      <c r="FM152" s="152"/>
      <c r="FN152" s="152"/>
      <c r="FO152" s="152"/>
      <c r="FP152" s="152"/>
      <c r="FQ152" s="152"/>
      <c r="FR152" s="152"/>
      <c r="FS152" s="152"/>
      <c r="FT152" s="152"/>
      <c r="FU152" s="152"/>
      <c r="FV152" s="152"/>
      <c r="FW152" s="152"/>
      <c r="FX152" s="152"/>
    </row>
    <row r="153" spans="1:180" s="150" customFormat="1" ht="27.75" customHeight="1" thickTop="1" thickBot="1" x14ac:dyDescent="0.3">
      <c r="A153" s="307" t="s">
        <v>2480</v>
      </c>
      <c r="B153" s="625" t="s">
        <v>2545</v>
      </c>
      <c r="C153" s="654"/>
      <c r="D153" s="478">
        <v>2</v>
      </c>
      <c r="E153" s="478">
        <v>30</v>
      </c>
      <c r="F153" s="478">
        <v>3</v>
      </c>
      <c r="G153" s="478">
        <v>540</v>
      </c>
      <c r="H153" s="483">
        <v>61860000</v>
      </c>
      <c r="I153" s="483">
        <v>61250000</v>
      </c>
      <c r="J153" s="426" t="s">
        <v>1076</v>
      </c>
      <c r="K153" s="418" t="s">
        <v>44</v>
      </c>
      <c r="L153" s="418">
        <v>550</v>
      </c>
      <c r="M153" s="418">
        <v>546</v>
      </c>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c r="BI153" s="152"/>
      <c r="BJ153" s="152"/>
      <c r="BK153" s="152"/>
      <c r="BL153" s="152"/>
      <c r="BM153" s="152"/>
      <c r="BN153" s="152"/>
      <c r="BO153" s="152"/>
      <c r="BP153" s="152"/>
      <c r="BQ153" s="152"/>
      <c r="BR153" s="152"/>
      <c r="BS153" s="152"/>
      <c r="BT153" s="152"/>
      <c r="BU153" s="152"/>
      <c r="BV153" s="152"/>
      <c r="BW153" s="152"/>
      <c r="BX153" s="152"/>
      <c r="BY153" s="152"/>
      <c r="BZ153" s="152"/>
      <c r="CA153" s="152"/>
      <c r="CB153" s="152"/>
      <c r="CC153" s="152"/>
      <c r="CD153" s="152"/>
      <c r="CE153" s="152"/>
      <c r="CF153" s="152"/>
      <c r="CG153" s="152"/>
      <c r="CH153" s="152"/>
      <c r="CI153" s="152"/>
      <c r="CJ153" s="152"/>
      <c r="CK153" s="152"/>
      <c r="CL153" s="152"/>
      <c r="CM153" s="152"/>
      <c r="CN153" s="152"/>
      <c r="CO153" s="152"/>
      <c r="CP153" s="152"/>
      <c r="CQ153" s="152"/>
      <c r="CR153" s="152"/>
      <c r="CS153" s="152"/>
      <c r="CT153" s="152"/>
      <c r="CU153" s="152"/>
      <c r="CV153" s="152"/>
      <c r="CW153" s="152"/>
      <c r="CX153" s="152"/>
      <c r="CY153" s="152"/>
      <c r="CZ153" s="152"/>
      <c r="DA153" s="152"/>
      <c r="DB153" s="152"/>
      <c r="DC153" s="152"/>
      <c r="DD153" s="152"/>
      <c r="DE153" s="152"/>
      <c r="DF153" s="152"/>
      <c r="DG153" s="152"/>
      <c r="DH153" s="152"/>
      <c r="DI153" s="152"/>
      <c r="DJ153" s="152"/>
      <c r="DK153" s="152"/>
      <c r="DL153" s="152"/>
      <c r="DM153" s="152"/>
      <c r="DN153" s="152"/>
      <c r="DO153" s="152"/>
      <c r="DP153" s="152"/>
      <c r="DQ153" s="152"/>
      <c r="DR153" s="152"/>
      <c r="DS153" s="152"/>
      <c r="DT153" s="152"/>
      <c r="DU153" s="152"/>
      <c r="DV153" s="152"/>
      <c r="DW153" s="152"/>
      <c r="DX153" s="152"/>
      <c r="DY153" s="152"/>
      <c r="DZ153" s="152"/>
      <c r="EA153" s="152"/>
      <c r="EB153" s="152"/>
      <c r="EC153" s="152"/>
      <c r="ED153" s="152"/>
      <c r="EE153" s="152"/>
      <c r="EF153" s="152"/>
      <c r="EG153" s="152"/>
      <c r="EH153" s="152"/>
      <c r="EI153" s="152"/>
      <c r="EJ153" s="152"/>
      <c r="EK153" s="152"/>
      <c r="EL153" s="152"/>
      <c r="EM153" s="152"/>
      <c r="EN153" s="152"/>
      <c r="EO153" s="152"/>
      <c r="EP153" s="152"/>
      <c r="EQ153" s="152"/>
      <c r="ER153" s="152"/>
      <c r="ES153" s="152"/>
      <c r="ET153" s="152"/>
      <c r="EU153" s="152"/>
      <c r="EV153" s="152"/>
      <c r="EW153" s="152"/>
      <c r="EX153" s="152"/>
      <c r="EY153" s="152"/>
      <c r="EZ153" s="152"/>
      <c r="FA153" s="152"/>
      <c r="FB153" s="152"/>
      <c r="FC153" s="152"/>
      <c r="FD153" s="152"/>
      <c r="FE153" s="152"/>
      <c r="FF153" s="152"/>
      <c r="FG153" s="152"/>
      <c r="FH153" s="152"/>
      <c r="FI153" s="152"/>
      <c r="FJ153" s="152"/>
      <c r="FK153" s="152"/>
      <c r="FL153" s="152"/>
      <c r="FM153" s="152"/>
      <c r="FN153" s="152"/>
      <c r="FO153" s="152"/>
      <c r="FP153" s="152"/>
      <c r="FQ153" s="152"/>
      <c r="FR153" s="152"/>
      <c r="FS153" s="152"/>
      <c r="FT153" s="152"/>
      <c r="FU153" s="152"/>
      <c r="FV153" s="152"/>
      <c r="FW153" s="152"/>
      <c r="FX153" s="152"/>
    </row>
    <row r="154" spans="1:180" s="153" customFormat="1" ht="16.5" customHeight="1" thickTop="1" thickBot="1" x14ac:dyDescent="0.3">
      <c r="A154" s="439"/>
      <c r="B154" s="475"/>
      <c r="C154" s="158"/>
      <c r="D154" s="471"/>
      <c r="E154" s="471"/>
      <c r="F154" s="471"/>
      <c r="G154" s="471"/>
      <c r="H154" s="471"/>
      <c r="I154" s="471"/>
      <c r="J154" s="158"/>
      <c r="K154" s="165"/>
      <c r="L154" s="165"/>
      <c r="M154" s="165"/>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c r="BI154" s="152"/>
      <c r="BJ154" s="152"/>
      <c r="BK154" s="152"/>
      <c r="BL154" s="152"/>
      <c r="BM154" s="152"/>
      <c r="BN154" s="152"/>
      <c r="BO154" s="152"/>
      <c r="BP154" s="152"/>
      <c r="BQ154" s="152"/>
      <c r="BR154" s="152"/>
      <c r="BS154" s="152"/>
      <c r="BT154" s="152"/>
      <c r="BU154" s="152"/>
      <c r="BV154" s="152"/>
      <c r="BW154" s="152"/>
      <c r="BX154" s="152"/>
      <c r="BY154" s="152"/>
      <c r="BZ154" s="152"/>
      <c r="CA154" s="152"/>
      <c r="CB154" s="152"/>
      <c r="CC154" s="152"/>
      <c r="CD154" s="152"/>
      <c r="CE154" s="152"/>
      <c r="CF154" s="152"/>
      <c r="CG154" s="152"/>
      <c r="CH154" s="152"/>
      <c r="CI154" s="152"/>
      <c r="CJ154" s="152"/>
      <c r="CK154" s="152"/>
      <c r="CL154" s="152"/>
      <c r="CM154" s="152"/>
      <c r="CN154" s="152"/>
      <c r="CO154" s="152"/>
      <c r="CP154" s="152"/>
      <c r="CQ154" s="152"/>
      <c r="CR154" s="152"/>
      <c r="CS154" s="152"/>
      <c r="CT154" s="152"/>
      <c r="CU154" s="152"/>
      <c r="CV154" s="152"/>
      <c r="CW154" s="152"/>
      <c r="CX154" s="152"/>
      <c r="CY154" s="152"/>
      <c r="CZ154" s="152"/>
      <c r="DA154" s="152"/>
      <c r="DB154" s="152"/>
      <c r="DC154" s="152"/>
      <c r="DD154" s="152"/>
      <c r="DE154" s="152"/>
      <c r="DF154" s="152"/>
      <c r="DG154" s="152"/>
      <c r="DH154" s="152"/>
      <c r="DI154" s="152"/>
      <c r="DJ154" s="152"/>
      <c r="DK154" s="152"/>
      <c r="DL154" s="152"/>
      <c r="DM154" s="152"/>
      <c r="DN154" s="152"/>
      <c r="DO154" s="152"/>
      <c r="DP154" s="152"/>
      <c r="DQ154" s="152"/>
      <c r="DR154" s="152"/>
      <c r="DS154" s="152"/>
      <c r="DT154" s="152"/>
      <c r="DU154" s="152"/>
      <c r="DV154" s="152"/>
      <c r="DW154" s="152"/>
      <c r="DX154" s="152"/>
      <c r="DY154" s="152"/>
      <c r="DZ154" s="152"/>
      <c r="EA154" s="152"/>
      <c r="EB154" s="152"/>
      <c r="EC154" s="152"/>
      <c r="ED154" s="152"/>
      <c r="EE154" s="152"/>
      <c r="EF154" s="152"/>
      <c r="EG154" s="152"/>
      <c r="EH154" s="152"/>
      <c r="EI154" s="152"/>
      <c r="EJ154" s="152"/>
      <c r="EK154" s="152"/>
      <c r="EL154" s="152"/>
      <c r="EM154" s="152"/>
      <c r="EN154" s="152"/>
      <c r="EO154" s="152"/>
      <c r="EP154" s="152"/>
      <c r="EQ154" s="152"/>
      <c r="ER154" s="152"/>
      <c r="ES154" s="152"/>
      <c r="ET154" s="152"/>
      <c r="EU154" s="152"/>
      <c r="EV154" s="152"/>
      <c r="EW154" s="152"/>
      <c r="EX154" s="152"/>
      <c r="EY154" s="152"/>
      <c r="EZ154" s="152"/>
      <c r="FA154" s="152"/>
      <c r="FB154" s="152"/>
      <c r="FC154" s="152"/>
      <c r="FD154" s="152"/>
      <c r="FE154" s="152"/>
      <c r="FF154" s="152"/>
      <c r="FG154" s="152"/>
      <c r="FH154" s="152"/>
      <c r="FI154" s="152"/>
      <c r="FJ154" s="152"/>
      <c r="FK154" s="152"/>
      <c r="FL154" s="152"/>
      <c r="FM154" s="152"/>
      <c r="FN154" s="152"/>
      <c r="FO154" s="152"/>
      <c r="FP154" s="152"/>
      <c r="FQ154" s="152"/>
      <c r="FR154" s="152"/>
      <c r="FS154" s="152"/>
      <c r="FT154" s="152"/>
      <c r="FU154" s="152"/>
      <c r="FV154" s="152"/>
      <c r="FW154" s="152"/>
      <c r="FX154" s="152"/>
    </row>
    <row r="155" spans="1:180" s="168" customFormat="1" ht="30" customHeight="1" thickTop="1" thickBot="1" x14ac:dyDescent="0.3">
      <c r="A155" s="639" t="s">
        <v>0</v>
      </c>
      <c r="B155" s="639" t="s">
        <v>1</v>
      </c>
      <c r="C155" s="639" t="s">
        <v>2569</v>
      </c>
      <c r="D155" s="636" t="s">
        <v>1961</v>
      </c>
      <c r="E155" s="637"/>
      <c r="F155" s="637"/>
      <c r="G155" s="638"/>
      <c r="H155" s="636" t="s">
        <v>3</v>
      </c>
      <c r="I155" s="637"/>
      <c r="J155" s="636" t="s">
        <v>1962</v>
      </c>
      <c r="K155" s="637"/>
      <c r="L155" s="637"/>
      <c r="M155" s="638"/>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row>
    <row r="156" spans="1:180" s="152" customFormat="1" ht="34.5" customHeight="1" thickTop="1" thickBot="1" x14ac:dyDescent="0.3">
      <c r="A156" s="661"/>
      <c r="B156" s="661"/>
      <c r="C156" s="661"/>
      <c r="D156" s="406" t="s">
        <v>4</v>
      </c>
      <c r="E156" s="406" t="s">
        <v>5</v>
      </c>
      <c r="F156" s="406" t="s">
        <v>6</v>
      </c>
      <c r="G156" s="406" t="s">
        <v>7</v>
      </c>
      <c r="H156" s="406" t="s">
        <v>2</v>
      </c>
      <c r="I156" s="406" t="s">
        <v>3</v>
      </c>
      <c r="J156" s="406" t="s">
        <v>8</v>
      </c>
      <c r="K156" s="406" t="s">
        <v>9</v>
      </c>
      <c r="L156" s="406" t="s">
        <v>1963</v>
      </c>
      <c r="M156" s="406" t="s">
        <v>1964</v>
      </c>
    </row>
    <row r="157" spans="1:180" s="150" customFormat="1" ht="39" customHeight="1" thickTop="1" thickBot="1" x14ac:dyDescent="0.3">
      <c r="A157" s="307" t="s">
        <v>2548</v>
      </c>
      <c r="B157" s="625" t="s">
        <v>2545</v>
      </c>
      <c r="C157" s="413" t="s">
        <v>18</v>
      </c>
      <c r="D157" s="418">
        <v>2</v>
      </c>
      <c r="E157" s="418">
        <v>30</v>
      </c>
      <c r="F157" s="418">
        <v>3</v>
      </c>
      <c r="G157" s="418">
        <v>848</v>
      </c>
      <c r="H157" s="483">
        <v>685292462</v>
      </c>
      <c r="I157" s="483">
        <v>154159040</v>
      </c>
      <c r="J157" s="416" t="s">
        <v>1077</v>
      </c>
      <c r="K157" s="418" t="s">
        <v>20</v>
      </c>
      <c r="L157" s="417">
        <v>90</v>
      </c>
      <c r="M157" s="417">
        <v>90</v>
      </c>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c r="BT157" s="152"/>
      <c r="BU157" s="152"/>
      <c r="BV157" s="152"/>
      <c r="BW157" s="152"/>
      <c r="BX157" s="152"/>
      <c r="BY157" s="152"/>
      <c r="BZ157" s="152"/>
      <c r="CA157" s="152"/>
      <c r="CB157" s="152"/>
      <c r="CC157" s="152"/>
      <c r="CD157" s="152"/>
      <c r="CE157" s="152"/>
      <c r="CF157" s="152"/>
      <c r="CG157" s="152"/>
      <c r="CH157" s="152"/>
      <c r="CI157" s="152"/>
      <c r="CJ157" s="152"/>
      <c r="CK157" s="152"/>
      <c r="CL157" s="152"/>
      <c r="CM157" s="152"/>
      <c r="CN157" s="152"/>
      <c r="CO157" s="152"/>
      <c r="CP157" s="152"/>
      <c r="CQ157" s="152"/>
      <c r="CR157" s="152"/>
      <c r="CS157" s="152"/>
      <c r="CT157" s="152"/>
      <c r="CU157" s="152"/>
      <c r="CV157" s="152"/>
      <c r="CW157" s="152"/>
      <c r="CX157" s="152"/>
      <c r="CY157" s="152"/>
      <c r="CZ157" s="152"/>
      <c r="DA157" s="152"/>
      <c r="DB157" s="152"/>
      <c r="DC157" s="152"/>
      <c r="DD157" s="152"/>
      <c r="DE157" s="152"/>
      <c r="DF157" s="152"/>
      <c r="DG157" s="152"/>
      <c r="DH157" s="152"/>
      <c r="DI157" s="152"/>
      <c r="DJ157" s="152"/>
      <c r="DK157" s="152"/>
      <c r="DL157" s="152"/>
      <c r="DM157" s="152"/>
      <c r="DN157" s="152"/>
      <c r="DO157" s="152"/>
      <c r="DP157" s="152"/>
      <c r="DQ157" s="152"/>
      <c r="DR157" s="152"/>
      <c r="DS157" s="152"/>
      <c r="DT157" s="152"/>
      <c r="DU157" s="152"/>
      <c r="DV157" s="152"/>
      <c r="DW157" s="152"/>
      <c r="DX157" s="152"/>
      <c r="DY157" s="152"/>
      <c r="DZ157" s="152"/>
      <c r="EA157" s="152"/>
      <c r="EB157" s="152"/>
      <c r="EC157" s="152"/>
      <c r="ED157" s="152"/>
      <c r="EE157" s="152"/>
      <c r="EF157" s="152"/>
      <c r="EG157" s="152"/>
      <c r="EH157" s="152"/>
      <c r="EI157" s="152"/>
      <c r="EJ157" s="152"/>
      <c r="EK157" s="152"/>
      <c r="EL157" s="152"/>
      <c r="EM157" s="152"/>
      <c r="EN157" s="152"/>
      <c r="EO157" s="152"/>
      <c r="EP157" s="152"/>
      <c r="EQ157" s="152"/>
      <c r="ER157" s="152"/>
      <c r="ES157" s="152"/>
      <c r="ET157" s="152"/>
      <c r="EU157" s="152"/>
      <c r="EV157" s="152"/>
      <c r="EW157" s="152"/>
      <c r="EX157" s="152"/>
      <c r="EY157" s="152"/>
      <c r="EZ157" s="152"/>
      <c r="FA157" s="152"/>
      <c r="FB157" s="152"/>
      <c r="FC157" s="152"/>
      <c r="FD157" s="152"/>
      <c r="FE157" s="152"/>
      <c r="FF157" s="152"/>
      <c r="FG157" s="152"/>
      <c r="FH157" s="152"/>
      <c r="FI157" s="152"/>
      <c r="FJ157" s="152"/>
      <c r="FK157" s="152"/>
      <c r="FL157" s="152"/>
      <c r="FM157" s="152"/>
      <c r="FN157" s="152"/>
      <c r="FO157" s="152"/>
      <c r="FP157" s="152"/>
      <c r="FQ157" s="152"/>
      <c r="FR157" s="152"/>
      <c r="FS157" s="152"/>
      <c r="FT157" s="152"/>
      <c r="FU157" s="152"/>
      <c r="FV157" s="152"/>
      <c r="FW157" s="152"/>
      <c r="FX157" s="152"/>
    </row>
    <row r="158" spans="1:180" s="150" customFormat="1" ht="32.25" customHeight="1" thickTop="1" thickBot="1" x14ac:dyDescent="0.3">
      <c r="A158" s="307" t="s">
        <v>2548</v>
      </c>
      <c r="B158" s="625" t="s">
        <v>2545</v>
      </c>
      <c r="C158" s="651" t="s">
        <v>53</v>
      </c>
      <c r="D158" s="418">
        <v>2</v>
      </c>
      <c r="E158" s="418">
        <v>30</v>
      </c>
      <c r="F158" s="418">
        <v>3</v>
      </c>
      <c r="G158" s="418">
        <v>520</v>
      </c>
      <c r="H158" s="483">
        <v>880000000</v>
      </c>
      <c r="I158" s="483">
        <f>332214030+44748995</f>
        <v>376963025</v>
      </c>
      <c r="J158" s="416" t="s">
        <v>1078</v>
      </c>
      <c r="K158" s="418" t="s">
        <v>55</v>
      </c>
      <c r="L158" s="417">
        <v>8</v>
      </c>
      <c r="M158" s="417">
        <v>3</v>
      </c>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c r="BI158" s="152"/>
      <c r="BJ158" s="152"/>
      <c r="BK158" s="152"/>
      <c r="BL158" s="152"/>
      <c r="BM158" s="152"/>
      <c r="BN158" s="152"/>
      <c r="BO158" s="152"/>
      <c r="BP158" s="152"/>
      <c r="BQ158" s="152"/>
      <c r="BR158" s="152"/>
      <c r="BS158" s="152"/>
      <c r="BT158" s="152"/>
      <c r="BU158" s="152"/>
      <c r="BV158" s="152"/>
      <c r="BW158" s="152"/>
      <c r="BX158" s="152"/>
      <c r="BY158" s="152"/>
      <c r="BZ158" s="152"/>
      <c r="CA158" s="152"/>
      <c r="CB158" s="152"/>
      <c r="CC158" s="152"/>
      <c r="CD158" s="152"/>
      <c r="CE158" s="152"/>
      <c r="CF158" s="152"/>
      <c r="CG158" s="152"/>
      <c r="CH158" s="152"/>
      <c r="CI158" s="152"/>
      <c r="CJ158" s="152"/>
      <c r="CK158" s="152"/>
      <c r="CL158" s="152"/>
      <c r="CM158" s="152"/>
      <c r="CN158" s="152"/>
      <c r="CO158" s="152"/>
      <c r="CP158" s="152"/>
      <c r="CQ158" s="152"/>
      <c r="CR158" s="152"/>
      <c r="CS158" s="152"/>
      <c r="CT158" s="152"/>
      <c r="CU158" s="152"/>
      <c r="CV158" s="152"/>
      <c r="CW158" s="152"/>
      <c r="CX158" s="152"/>
      <c r="CY158" s="152"/>
      <c r="CZ158" s="152"/>
      <c r="DA158" s="152"/>
      <c r="DB158" s="152"/>
      <c r="DC158" s="152"/>
      <c r="DD158" s="152"/>
      <c r="DE158" s="152"/>
      <c r="DF158" s="152"/>
      <c r="DG158" s="152"/>
      <c r="DH158" s="152"/>
      <c r="DI158" s="152"/>
      <c r="DJ158" s="152"/>
      <c r="DK158" s="152"/>
      <c r="DL158" s="152"/>
      <c r="DM158" s="152"/>
      <c r="DN158" s="152"/>
      <c r="DO158" s="152"/>
      <c r="DP158" s="152"/>
      <c r="DQ158" s="152"/>
      <c r="DR158" s="152"/>
      <c r="DS158" s="152"/>
      <c r="DT158" s="152"/>
      <c r="DU158" s="152"/>
      <c r="DV158" s="152"/>
      <c r="DW158" s="152"/>
      <c r="DX158" s="152"/>
      <c r="DY158" s="152"/>
      <c r="DZ158" s="152"/>
      <c r="EA158" s="152"/>
      <c r="EB158" s="152"/>
      <c r="EC158" s="152"/>
      <c r="ED158" s="152"/>
      <c r="EE158" s="152"/>
      <c r="EF158" s="152"/>
      <c r="EG158" s="152"/>
      <c r="EH158" s="152"/>
      <c r="EI158" s="152"/>
      <c r="EJ158" s="152"/>
      <c r="EK158" s="152"/>
      <c r="EL158" s="152"/>
      <c r="EM158" s="152"/>
      <c r="EN158" s="152"/>
      <c r="EO158" s="152"/>
      <c r="EP158" s="152"/>
      <c r="EQ158" s="152"/>
      <c r="ER158" s="152"/>
      <c r="ES158" s="152"/>
      <c r="ET158" s="152"/>
      <c r="EU158" s="152"/>
      <c r="EV158" s="152"/>
      <c r="EW158" s="152"/>
      <c r="EX158" s="152"/>
      <c r="EY158" s="152"/>
      <c r="EZ158" s="152"/>
      <c r="FA158" s="152"/>
      <c r="FB158" s="152"/>
      <c r="FC158" s="152"/>
      <c r="FD158" s="152"/>
      <c r="FE158" s="152"/>
      <c r="FF158" s="152"/>
      <c r="FG158" s="152"/>
      <c r="FH158" s="152"/>
      <c r="FI158" s="152"/>
      <c r="FJ158" s="152"/>
      <c r="FK158" s="152"/>
      <c r="FL158" s="152"/>
      <c r="FM158" s="152"/>
      <c r="FN158" s="152"/>
      <c r="FO158" s="152"/>
      <c r="FP158" s="152"/>
      <c r="FQ158" s="152"/>
      <c r="FR158" s="152"/>
      <c r="FS158" s="152"/>
      <c r="FT158" s="152"/>
      <c r="FU158" s="152"/>
      <c r="FV158" s="152"/>
      <c r="FW158" s="152"/>
      <c r="FX158" s="152"/>
    </row>
    <row r="159" spans="1:180" s="150" customFormat="1" ht="36.75" customHeight="1" thickTop="1" thickBot="1" x14ac:dyDescent="0.3">
      <c r="A159" s="307" t="s">
        <v>2548</v>
      </c>
      <c r="B159" s="625" t="s">
        <v>2545</v>
      </c>
      <c r="C159" s="652"/>
      <c r="D159" s="417">
        <v>3</v>
      </c>
      <c r="E159" s="417">
        <v>30</v>
      </c>
      <c r="F159" s="417">
        <v>3</v>
      </c>
      <c r="G159" s="417">
        <v>520</v>
      </c>
      <c r="H159" s="483">
        <f>72440214+392734466</f>
        <v>465174680</v>
      </c>
      <c r="I159" s="483">
        <v>0</v>
      </c>
      <c r="J159" s="416" t="s">
        <v>1079</v>
      </c>
      <c r="K159" s="417" t="s">
        <v>25</v>
      </c>
      <c r="L159" s="417">
        <v>2</v>
      </c>
      <c r="M159" s="417">
        <v>0</v>
      </c>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52"/>
      <c r="BK159" s="152"/>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52"/>
      <c r="CM159" s="152"/>
      <c r="CN159" s="152"/>
      <c r="CO159" s="152"/>
      <c r="CP159" s="152"/>
      <c r="CQ159" s="152"/>
      <c r="CR159" s="152"/>
      <c r="CS159" s="152"/>
      <c r="CT159" s="152"/>
      <c r="CU159" s="152"/>
      <c r="CV159" s="152"/>
      <c r="CW159" s="152"/>
      <c r="CX159" s="152"/>
      <c r="CY159" s="152"/>
      <c r="CZ159" s="152"/>
      <c r="DA159" s="152"/>
      <c r="DB159" s="152"/>
      <c r="DC159" s="152"/>
      <c r="DD159" s="152"/>
      <c r="DE159" s="152"/>
      <c r="DF159" s="152"/>
      <c r="DG159" s="152"/>
      <c r="DH159" s="152"/>
      <c r="DI159" s="152"/>
      <c r="DJ159" s="152"/>
      <c r="DK159" s="152"/>
      <c r="DL159" s="152"/>
      <c r="DM159" s="152"/>
      <c r="DN159" s="152"/>
      <c r="DO159" s="152"/>
      <c r="DP159" s="152"/>
      <c r="DQ159" s="152"/>
      <c r="DR159" s="152"/>
      <c r="DS159" s="152"/>
      <c r="DT159" s="152"/>
      <c r="DU159" s="152"/>
      <c r="DV159" s="152"/>
      <c r="DW159" s="152"/>
      <c r="DX159" s="152"/>
      <c r="DY159" s="152"/>
      <c r="DZ159" s="152"/>
      <c r="EA159" s="152"/>
      <c r="EB159" s="152"/>
      <c r="EC159" s="152"/>
      <c r="ED159" s="152"/>
      <c r="EE159" s="152"/>
      <c r="EF159" s="152"/>
      <c r="EG159" s="152"/>
      <c r="EH159" s="152"/>
      <c r="EI159" s="152"/>
      <c r="EJ159" s="152"/>
      <c r="EK159" s="152"/>
      <c r="EL159" s="152"/>
      <c r="EM159" s="152"/>
      <c r="EN159" s="152"/>
      <c r="EO159" s="152"/>
      <c r="EP159" s="152"/>
      <c r="EQ159" s="152"/>
      <c r="ER159" s="152"/>
      <c r="ES159" s="152"/>
      <c r="ET159" s="152"/>
      <c r="EU159" s="152"/>
      <c r="EV159" s="152"/>
      <c r="EW159" s="152"/>
      <c r="EX159" s="152"/>
      <c r="EY159" s="152"/>
      <c r="EZ159" s="152"/>
      <c r="FA159" s="152"/>
      <c r="FB159" s="152"/>
      <c r="FC159" s="152"/>
      <c r="FD159" s="152"/>
      <c r="FE159" s="152"/>
      <c r="FF159" s="152"/>
      <c r="FG159" s="152"/>
      <c r="FH159" s="152"/>
      <c r="FI159" s="152"/>
      <c r="FJ159" s="152"/>
      <c r="FK159" s="152"/>
      <c r="FL159" s="152"/>
      <c r="FM159" s="152"/>
      <c r="FN159" s="152"/>
      <c r="FO159" s="152"/>
      <c r="FP159" s="152"/>
      <c r="FQ159" s="152"/>
      <c r="FR159" s="152"/>
      <c r="FS159" s="152"/>
      <c r="FT159" s="152"/>
      <c r="FU159" s="152"/>
      <c r="FV159" s="152"/>
      <c r="FW159" s="152"/>
      <c r="FX159" s="152"/>
    </row>
    <row r="160" spans="1:180" s="150" customFormat="1" ht="36.75" customHeight="1" thickTop="1" thickBot="1" x14ac:dyDescent="0.3">
      <c r="A160" s="307" t="s">
        <v>2548</v>
      </c>
      <c r="B160" s="625" t="s">
        <v>2545</v>
      </c>
      <c r="C160" s="653"/>
      <c r="D160" s="417">
        <v>3</v>
      </c>
      <c r="E160" s="417">
        <v>30</v>
      </c>
      <c r="F160" s="417">
        <v>3</v>
      </c>
      <c r="G160" s="417">
        <v>520</v>
      </c>
      <c r="H160" s="483">
        <v>258085617</v>
      </c>
      <c r="I160" s="483">
        <v>0</v>
      </c>
      <c r="J160" s="416" t="s">
        <v>1080</v>
      </c>
      <c r="K160" s="417" t="s">
        <v>28</v>
      </c>
      <c r="L160" s="417">
        <v>3</v>
      </c>
      <c r="M160" s="417">
        <v>0</v>
      </c>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c r="BI160" s="152"/>
      <c r="BJ160" s="152"/>
      <c r="BK160" s="152"/>
      <c r="BL160" s="152"/>
      <c r="BM160" s="152"/>
      <c r="BN160" s="152"/>
      <c r="BO160" s="152"/>
      <c r="BP160" s="152"/>
      <c r="BQ160" s="152"/>
      <c r="BR160" s="152"/>
      <c r="BS160" s="152"/>
      <c r="BT160" s="152"/>
      <c r="BU160" s="152"/>
      <c r="BV160" s="152"/>
      <c r="BW160" s="152"/>
      <c r="BX160" s="152"/>
      <c r="BY160" s="152"/>
      <c r="BZ160" s="152"/>
      <c r="CA160" s="152"/>
      <c r="CB160" s="152"/>
      <c r="CC160" s="152"/>
      <c r="CD160" s="152"/>
      <c r="CE160" s="152"/>
      <c r="CF160" s="152"/>
      <c r="CG160" s="152"/>
      <c r="CH160" s="152"/>
      <c r="CI160" s="152"/>
      <c r="CJ160" s="152"/>
      <c r="CK160" s="152"/>
      <c r="CL160" s="152"/>
      <c r="CM160" s="152"/>
      <c r="CN160" s="152"/>
      <c r="CO160" s="152"/>
      <c r="CP160" s="152"/>
      <c r="CQ160" s="152"/>
      <c r="CR160" s="152"/>
      <c r="CS160" s="152"/>
      <c r="CT160" s="152"/>
      <c r="CU160" s="152"/>
      <c r="CV160" s="152"/>
      <c r="CW160" s="152"/>
      <c r="CX160" s="152"/>
      <c r="CY160" s="152"/>
      <c r="CZ160" s="152"/>
      <c r="DA160" s="152"/>
      <c r="DB160" s="152"/>
      <c r="DC160" s="152"/>
      <c r="DD160" s="152"/>
      <c r="DE160" s="152"/>
      <c r="DF160" s="152"/>
      <c r="DG160" s="152"/>
      <c r="DH160" s="152"/>
      <c r="DI160" s="152"/>
      <c r="DJ160" s="152"/>
      <c r="DK160" s="152"/>
      <c r="DL160" s="152"/>
      <c r="DM160" s="152"/>
      <c r="DN160" s="152"/>
      <c r="DO160" s="152"/>
      <c r="DP160" s="152"/>
      <c r="DQ160" s="152"/>
      <c r="DR160" s="152"/>
      <c r="DS160" s="152"/>
      <c r="DT160" s="152"/>
      <c r="DU160" s="152"/>
      <c r="DV160" s="152"/>
      <c r="DW160" s="152"/>
      <c r="DX160" s="152"/>
      <c r="DY160" s="152"/>
      <c r="DZ160" s="152"/>
      <c r="EA160" s="152"/>
      <c r="EB160" s="152"/>
      <c r="EC160" s="152"/>
      <c r="ED160" s="152"/>
      <c r="EE160" s="152"/>
      <c r="EF160" s="152"/>
      <c r="EG160" s="152"/>
      <c r="EH160" s="152"/>
      <c r="EI160" s="152"/>
      <c r="EJ160" s="152"/>
      <c r="EK160" s="152"/>
      <c r="EL160" s="152"/>
      <c r="EM160" s="152"/>
      <c r="EN160" s="152"/>
      <c r="EO160" s="152"/>
      <c r="EP160" s="152"/>
      <c r="EQ160" s="152"/>
      <c r="ER160" s="152"/>
      <c r="ES160" s="152"/>
      <c r="ET160" s="152"/>
      <c r="EU160" s="152"/>
      <c r="EV160" s="152"/>
      <c r="EW160" s="152"/>
      <c r="EX160" s="152"/>
      <c r="EY160" s="152"/>
      <c r="EZ160" s="152"/>
      <c r="FA160" s="152"/>
      <c r="FB160" s="152"/>
      <c r="FC160" s="152"/>
      <c r="FD160" s="152"/>
      <c r="FE160" s="152"/>
      <c r="FF160" s="152"/>
      <c r="FG160" s="152"/>
      <c r="FH160" s="152"/>
      <c r="FI160" s="152"/>
      <c r="FJ160" s="152"/>
      <c r="FK160" s="152"/>
      <c r="FL160" s="152"/>
      <c r="FM160" s="152"/>
      <c r="FN160" s="152"/>
      <c r="FO160" s="152"/>
      <c r="FP160" s="152"/>
      <c r="FQ160" s="152"/>
      <c r="FR160" s="152"/>
      <c r="FS160" s="152"/>
      <c r="FT160" s="152"/>
      <c r="FU160" s="152"/>
      <c r="FV160" s="152"/>
      <c r="FW160" s="152"/>
      <c r="FX160" s="152"/>
    </row>
    <row r="161" spans="1:180" s="150" customFormat="1" ht="36.75" customHeight="1" thickTop="1" thickBot="1" x14ac:dyDescent="0.3">
      <c r="A161" s="307" t="s">
        <v>2548</v>
      </c>
      <c r="B161" s="625" t="s">
        <v>2545</v>
      </c>
      <c r="C161" s="654" t="s">
        <v>105</v>
      </c>
      <c r="D161" s="418">
        <v>2</v>
      </c>
      <c r="E161" s="418">
        <v>30</v>
      </c>
      <c r="F161" s="418">
        <v>3</v>
      </c>
      <c r="G161" s="418">
        <v>530</v>
      </c>
      <c r="H161" s="483">
        <v>30000000</v>
      </c>
      <c r="I161" s="483">
        <v>0</v>
      </c>
      <c r="J161" s="416" t="s">
        <v>1081</v>
      </c>
      <c r="K161" s="418" t="s">
        <v>261</v>
      </c>
      <c r="L161" s="417">
        <v>100</v>
      </c>
      <c r="M161" s="417">
        <v>0</v>
      </c>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c r="BI161" s="152"/>
      <c r="BJ161" s="152"/>
      <c r="BK161" s="152"/>
      <c r="BL161" s="152"/>
      <c r="BM161" s="152"/>
      <c r="BN161" s="152"/>
      <c r="BO161" s="152"/>
      <c r="BP161" s="152"/>
      <c r="BQ161" s="152"/>
      <c r="BR161" s="152"/>
      <c r="BS161" s="152"/>
      <c r="BT161" s="152"/>
      <c r="BU161" s="152"/>
      <c r="BV161" s="152"/>
      <c r="BW161" s="152"/>
      <c r="BX161" s="152"/>
      <c r="BY161" s="152"/>
      <c r="BZ161" s="152"/>
      <c r="CA161" s="152"/>
      <c r="CB161" s="152"/>
      <c r="CC161" s="152"/>
      <c r="CD161" s="152"/>
      <c r="CE161" s="152"/>
      <c r="CF161" s="152"/>
      <c r="CG161" s="152"/>
      <c r="CH161" s="152"/>
      <c r="CI161" s="152"/>
      <c r="CJ161" s="152"/>
      <c r="CK161" s="152"/>
      <c r="CL161" s="152"/>
      <c r="CM161" s="152"/>
      <c r="CN161" s="152"/>
      <c r="CO161" s="152"/>
      <c r="CP161" s="152"/>
      <c r="CQ161" s="152"/>
      <c r="CR161" s="152"/>
      <c r="CS161" s="152"/>
      <c r="CT161" s="152"/>
      <c r="CU161" s="152"/>
      <c r="CV161" s="152"/>
      <c r="CW161" s="152"/>
      <c r="CX161" s="152"/>
      <c r="CY161" s="152"/>
      <c r="CZ161" s="152"/>
      <c r="DA161" s="152"/>
      <c r="DB161" s="152"/>
      <c r="DC161" s="152"/>
      <c r="DD161" s="152"/>
      <c r="DE161" s="152"/>
      <c r="DF161" s="152"/>
      <c r="DG161" s="152"/>
      <c r="DH161" s="152"/>
      <c r="DI161" s="152"/>
      <c r="DJ161" s="152"/>
      <c r="DK161" s="152"/>
      <c r="DL161" s="152"/>
      <c r="DM161" s="152"/>
      <c r="DN161" s="152"/>
      <c r="DO161" s="152"/>
      <c r="DP161" s="152"/>
      <c r="DQ161" s="152"/>
      <c r="DR161" s="152"/>
      <c r="DS161" s="152"/>
      <c r="DT161" s="152"/>
      <c r="DU161" s="152"/>
      <c r="DV161" s="152"/>
      <c r="DW161" s="152"/>
      <c r="DX161" s="152"/>
      <c r="DY161" s="152"/>
      <c r="DZ161" s="152"/>
      <c r="EA161" s="152"/>
      <c r="EB161" s="152"/>
      <c r="EC161" s="152"/>
      <c r="ED161" s="152"/>
      <c r="EE161" s="152"/>
      <c r="EF161" s="152"/>
      <c r="EG161" s="152"/>
      <c r="EH161" s="152"/>
      <c r="EI161" s="152"/>
      <c r="EJ161" s="152"/>
      <c r="EK161" s="152"/>
      <c r="EL161" s="152"/>
      <c r="EM161" s="152"/>
      <c r="EN161" s="152"/>
      <c r="EO161" s="152"/>
      <c r="EP161" s="152"/>
      <c r="EQ161" s="152"/>
      <c r="ER161" s="152"/>
      <c r="ES161" s="152"/>
      <c r="ET161" s="152"/>
      <c r="EU161" s="152"/>
      <c r="EV161" s="152"/>
      <c r="EW161" s="152"/>
      <c r="EX161" s="152"/>
      <c r="EY161" s="152"/>
      <c r="EZ161" s="152"/>
      <c r="FA161" s="152"/>
      <c r="FB161" s="152"/>
      <c r="FC161" s="152"/>
      <c r="FD161" s="152"/>
      <c r="FE161" s="152"/>
      <c r="FF161" s="152"/>
      <c r="FG161" s="152"/>
      <c r="FH161" s="152"/>
      <c r="FI161" s="152"/>
      <c r="FJ161" s="152"/>
      <c r="FK161" s="152"/>
      <c r="FL161" s="152"/>
      <c r="FM161" s="152"/>
      <c r="FN161" s="152"/>
      <c r="FO161" s="152"/>
      <c r="FP161" s="152"/>
      <c r="FQ161" s="152"/>
      <c r="FR161" s="152"/>
      <c r="FS161" s="152"/>
      <c r="FT161" s="152"/>
      <c r="FU161" s="152"/>
      <c r="FV161" s="152"/>
      <c r="FW161" s="152"/>
      <c r="FX161" s="152"/>
    </row>
    <row r="162" spans="1:180" s="150" customFormat="1" ht="36.75" customHeight="1" thickTop="1" thickBot="1" x14ac:dyDescent="0.3">
      <c r="A162" s="307" t="s">
        <v>2548</v>
      </c>
      <c r="B162" s="625" t="s">
        <v>2545</v>
      </c>
      <c r="C162" s="654"/>
      <c r="D162" s="418">
        <v>2</v>
      </c>
      <c r="E162" s="418">
        <v>30</v>
      </c>
      <c r="F162" s="418">
        <v>3</v>
      </c>
      <c r="G162" s="418">
        <v>530</v>
      </c>
      <c r="H162" s="483">
        <v>30000000</v>
      </c>
      <c r="I162" s="483">
        <v>0</v>
      </c>
      <c r="J162" s="416" t="s">
        <v>1082</v>
      </c>
      <c r="K162" s="418" t="s">
        <v>193</v>
      </c>
      <c r="L162" s="417">
        <v>100</v>
      </c>
      <c r="M162" s="417">
        <v>0</v>
      </c>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c r="BI162" s="152"/>
      <c r="BJ162" s="152"/>
      <c r="BK162" s="152"/>
      <c r="BL162" s="152"/>
      <c r="BM162" s="152"/>
      <c r="BN162" s="152"/>
      <c r="BO162" s="152"/>
      <c r="BP162" s="152"/>
      <c r="BQ162" s="152"/>
      <c r="BR162" s="152"/>
      <c r="BS162" s="152"/>
      <c r="BT162" s="152"/>
      <c r="BU162" s="152"/>
      <c r="BV162" s="152"/>
      <c r="BW162" s="152"/>
      <c r="BX162" s="152"/>
      <c r="BY162" s="152"/>
      <c r="BZ162" s="152"/>
      <c r="CA162" s="152"/>
      <c r="CB162" s="152"/>
      <c r="CC162" s="152"/>
      <c r="CD162" s="152"/>
      <c r="CE162" s="152"/>
      <c r="CF162" s="152"/>
      <c r="CG162" s="152"/>
      <c r="CH162" s="152"/>
      <c r="CI162" s="152"/>
      <c r="CJ162" s="152"/>
      <c r="CK162" s="152"/>
      <c r="CL162" s="152"/>
      <c r="CM162" s="152"/>
      <c r="CN162" s="152"/>
      <c r="CO162" s="152"/>
      <c r="CP162" s="152"/>
      <c r="CQ162" s="152"/>
      <c r="CR162" s="152"/>
      <c r="CS162" s="152"/>
      <c r="CT162" s="152"/>
      <c r="CU162" s="152"/>
      <c r="CV162" s="152"/>
      <c r="CW162" s="152"/>
      <c r="CX162" s="152"/>
      <c r="CY162" s="152"/>
      <c r="CZ162" s="152"/>
      <c r="DA162" s="152"/>
      <c r="DB162" s="152"/>
      <c r="DC162" s="152"/>
      <c r="DD162" s="152"/>
      <c r="DE162" s="152"/>
      <c r="DF162" s="152"/>
      <c r="DG162" s="152"/>
      <c r="DH162" s="152"/>
      <c r="DI162" s="152"/>
      <c r="DJ162" s="152"/>
      <c r="DK162" s="152"/>
      <c r="DL162" s="152"/>
      <c r="DM162" s="152"/>
      <c r="DN162" s="152"/>
      <c r="DO162" s="152"/>
      <c r="DP162" s="152"/>
      <c r="DQ162" s="152"/>
      <c r="DR162" s="152"/>
      <c r="DS162" s="152"/>
      <c r="DT162" s="152"/>
      <c r="DU162" s="152"/>
      <c r="DV162" s="152"/>
      <c r="DW162" s="152"/>
      <c r="DX162" s="152"/>
      <c r="DY162" s="152"/>
      <c r="DZ162" s="152"/>
      <c r="EA162" s="152"/>
      <c r="EB162" s="152"/>
      <c r="EC162" s="152"/>
      <c r="ED162" s="152"/>
      <c r="EE162" s="152"/>
      <c r="EF162" s="152"/>
      <c r="EG162" s="152"/>
      <c r="EH162" s="152"/>
      <c r="EI162" s="152"/>
      <c r="EJ162" s="152"/>
      <c r="EK162" s="152"/>
      <c r="EL162" s="152"/>
      <c r="EM162" s="152"/>
      <c r="EN162" s="152"/>
      <c r="EO162" s="152"/>
      <c r="EP162" s="152"/>
      <c r="EQ162" s="152"/>
      <c r="ER162" s="152"/>
      <c r="ES162" s="152"/>
      <c r="ET162" s="152"/>
      <c r="EU162" s="152"/>
      <c r="EV162" s="152"/>
      <c r="EW162" s="152"/>
      <c r="EX162" s="152"/>
      <c r="EY162" s="152"/>
      <c r="EZ162" s="152"/>
      <c r="FA162" s="152"/>
      <c r="FB162" s="152"/>
      <c r="FC162" s="152"/>
      <c r="FD162" s="152"/>
      <c r="FE162" s="152"/>
      <c r="FF162" s="152"/>
      <c r="FG162" s="152"/>
      <c r="FH162" s="152"/>
      <c r="FI162" s="152"/>
      <c r="FJ162" s="152"/>
      <c r="FK162" s="152"/>
      <c r="FL162" s="152"/>
      <c r="FM162" s="152"/>
      <c r="FN162" s="152"/>
      <c r="FO162" s="152"/>
      <c r="FP162" s="152"/>
      <c r="FQ162" s="152"/>
      <c r="FR162" s="152"/>
      <c r="FS162" s="152"/>
      <c r="FT162" s="152"/>
      <c r="FU162" s="152"/>
      <c r="FV162" s="152"/>
      <c r="FW162" s="152"/>
      <c r="FX162" s="152"/>
    </row>
    <row r="163" spans="1:180" s="153" customFormat="1" ht="18" customHeight="1" thickTop="1" thickBot="1" x14ac:dyDescent="0.3">
      <c r="A163" s="439"/>
      <c r="B163" s="475"/>
      <c r="C163" s="158"/>
      <c r="D163" s="165"/>
      <c r="E163" s="165"/>
      <c r="F163" s="165"/>
      <c r="G163" s="165"/>
      <c r="H163" s="164"/>
      <c r="I163" s="164"/>
      <c r="J163" s="165"/>
      <c r="K163" s="165"/>
      <c r="L163" s="164"/>
      <c r="M163" s="164"/>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52"/>
      <c r="BV163" s="152"/>
      <c r="BW163" s="152"/>
      <c r="BX163" s="152"/>
      <c r="BY163" s="152"/>
      <c r="BZ163" s="152"/>
      <c r="CA163" s="152"/>
      <c r="CB163" s="152"/>
      <c r="CC163" s="152"/>
      <c r="CD163" s="152"/>
      <c r="CE163" s="152"/>
      <c r="CF163" s="152"/>
      <c r="CG163" s="152"/>
      <c r="CH163" s="152"/>
      <c r="CI163" s="152"/>
      <c r="CJ163" s="152"/>
      <c r="CK163" s="152"/>
      <c r="CL163" s="152"/>
      <c r="CM163" s="152"/>
      <c r="CN163" s="152"/>
      <c r="CO163" s="152"/>
      <c r="CP163" s="152"/>
      <c r="CQ163" s="152"/>
      <c r="CR163" s="152"/>
      <c r="CS163" s="152"/>
      <c r="CT163" s="152"/>
      <c r="CU163" s="152"/>
      <c r="CV163" s="152"/>
      <c r="CW163" s="152"/>
      <c r="CX163" s="152"/>
      <c r="CY163" s="152"/>
      <c r="CZ163" s="152"/>
      <c r="DA163" s="152"/>
      <c r="DB163" s="152"/>
      <c r="DC163" s="152"/>
      <c r="DD163" s="152"/>
      <c r="DE163" s="152"/>
      <c r="DF163" s="152"/>
      <c r="DG163" s="152"/>
      <c r="DH163" s="152"/>
      <c r="DI163" s="152"/>
      <c r="DJ163" s="152"/>
      <c r="DK163" s="152"/>
      <c r="DL163" s="152"/>
      <c r="DM163" s="152"/>
      <c r="DN163" s="152"/>
      <c r="DO163" s="152"/>
      <c r="DP163" s="152"/>
      <c r="DQ163" s="152"/>
      <c r="DR163" s="152"/>
      <c r="DS163" s="152"/>
      <c r="DT163" s="152"/>
      <c r="DU163" s="152"/>
      <c r="DV163" s="152"/>
      <c r="DW163" s="152"/>
      <c r="DX163" s="152"/>
      <c r="DY163" s="152"/>
      <c r="DZ163" s="152"/>
      <c r="EA163" s="152"/>
      <c r="EB163" s="152"/>
      <c r="EC163" s="152"/>
      <c r="ED163" s="152"/>
      <c r="EE163" s="152"/>
      <c r="EF163" s="152"/>
      <c r="EG163" s="152"/>
      <c r="EH163" s="152"/>
      <c r="EI163" s="152"/>
      <c r="EJ163" s="152"/>
      <c r="EK163" s="152"/>
      <c r="EL163" s="152"/>
      <c r="EM163" s="152"/>
      <c r="EN163" s="152"/>
      <c r="EO163" s="152"/>
      <c r="EP163" s="152"/>
      <c r="EQ163" s="152"/>
      <c r="ER163" s="152"/>
      <c r="ES163" s="152"/>
      <c r="ET163" s="152"/>
      <c r="EU163" s="152"/>
      <c r="EV163" s="152"/>
      <c r="EW163" s="152"/>
      <c r="EX163" s="152"/>
      <c r="EY163" s="152"/>
      <c r="EZ163" s="152"/>
      <c r="FA163" s="152"/>
      <c r="FB163" s="152"/>
      <c r="FC163" s="152"/>
      <c r="FD163" s="152"/>
      <c r="FE163" s="152"/>
      <c r="FF163" s="152"/>
      <c r="FG163" s="152"/>
      <c r="FH163" s="152"/>
      <c r="FI163" s="152"/>
      <c r="FJ163" s="152"/>
      <c r="FK163" s="152"/>
      <c r="FL163" s="152"/>
      <c r="FM163" s="152"/>
      <c r="FN163" s="152"/>
      <c r="FO163" s="152"/>
      <c r="FP163" s="152"/>
      <c r="FQ163" s="152"/>
      <c r="FR163" s="152"/>
      <c r="FS163" s="152"/>
      <c r="FT163" s="152"/>
      <c r="FU163" s="152"/>
      <c r="FV163" s="152"/>
      <c r="FW163" s="152"/>
      <c r="FX163" s="152"/>
    </row>
    <row r="164" spans="1:180" s="168" customFormat="1" ht="30" customHeight="1" thickTop="1" thickBot="1" x14ac:dyDescent="0.3">
      <c r="A164" s="639" t="s">
        <v>0</v>
      </c>
      <c r="B164" s="639" t="s">
        <v>1</v>
      </c>
      <c r="C164" s="639" t="s">
        <v>2569</v>
      </c>
      <c r="D164" s="636" t="s">
        <v>1961</v>
      </c>
      <c r="E164" s="637"/>
      <c r="F164" s="637"/>
      <c r="G164" s="638"/>
      <c r="H164" s="636" t="s">
        <v>3</v>
      </c>
      <c r="I164" s="637"/>
      <c r="J164" s="636" t="s">
        <v>1962</v>
      </c>
      <c r="K164" s="637"/>
      <c r="L164" s="637"/>
      <c r="M164" s="638"/>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row>
    <row r="165" spans="1:180" s="152" customFormat="1" ht="34.5" customHeight="1" thickTop="1" thickBot="1" x14ac:dyDescent="0.3">
      <c r="A165" s="661"/>
      <c r="B165" s="661"/>
      <c r="C165" s="661"/>
      <c r="D165" s="406" t="s">
        <v>4</v>
      </c>
      <c r="E165" s="406" t="s">
        <v>5</v>
      </c>
      <c r="F165" s="406" t="s">
        <v>6</v>
      </c>
      <c r="G165" s="406" t="s">
        <v>7</v>
      </c>
      <c r="H165" s="406" t="s">
        <v>2</v>
      </c>
      <c r="I165" s="406" t="s">
        <v>3</v>
      </c>
      <c r="J165" s="406" t="s">
        <v>8</v>
      </c>
      <c r="K165" s="406" t="s">
        <v>9</v>
      </c>
      <c r="L165" s="406" t="s">
        <v>1963</v>
      </c>
      <c r="M165" s="406" t="s">
        <v>1964</v>
      </c>
    </row>
    <row r="166" spans="1:180" s="150" customFormat="1" ht="63" customHeight="1" thickTop="1" thickBot="1" x14ac:dyDescent="0.3">
      <c r="A166" s="307" t="s">
        <v>1157</v>
      </c>
      <c r="B166" s="625" t="s">
        <v>2545</v>
      </c>
      <c r="C166" s="413" t="s">
        <v>1083</v>
      </c>
      <c r="D166" s="418">
        <v>2</v>
      </c>
      <c r="E166" s="478">
        <v>30</v>
      </c>
      <c r="F166" s="418">
        <v>3</v>
      </c>
      <c r="G166" s="478">
        <v>848</v>
      </c>
      <c r="H166" s="483">
        <v>761688980</v>
      </c>
      <c r="I166" s="483">
        <v>492611784</v>
      </c>
      <c r="J166" s="426" t="s">
        <v>1084</v>
      </c>
      <c r="K166" s="418" t="s">
        <v>20</v>
      </c>
      <c r="L166" s="478">
        <v>444</v>
      </c>
      <c r="M166" s="478">
        <v>290</v>
      </c>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52"/>
      <c r="CG166" s="152"/>
      <c r="CH166" s="152"/>
      <c r="CI166" s="152"/>
      <c r="CJ166" s="152"/>
      <c r="CK166" s="152"/>
      <c r="CL166" s="152"/>
      <c r="CM166" s="152"/>
      <c r="CN166" s="152"/>
      <c r="CO166" s="152"/>
      <c r="CP166" s="152"/>
      <c r="CQ166" s="152"/>
      <c r="CR166" s="152"/>
      <c r="CS166" s="152"/>
      <c r="CT166" s="152"/>
      <c r="CU166" s="152"/>
      <c r="CV166" s="152"/>
      <c r="CW166" s="152"/>
      <c r="CX166" s="152"/>
      <c r="CY166" s="152"/>
      <c r="CZ166" s="152"/>
      <c r="DA166" s="152"/>
      <c r="DB166" s="152"/>
      <c r="DC166" s="152"/>
      <c r="DD166" s="152"/>
      <c r="DE166" s="152"/>
      <c r="DF166" s="152"/>
      <c r="DG166" s="152"/>
      <c r="DH166" s="152"/>
      <c r="DI166" s="152"/>
      <c r="DJ166" s="152"/>
      <c r="DK166" s="152"/>
      <c r="DL166" s="152"/>
      <c r="DM166" s="152"/>
      <c r="DN166" s="152"/>
      <c r="DO166" s="152"/>
      <c r="DP166" s="152"/>
      <c r="DQ166" s="152"/>
      <c r="DR166" s="152"/>
      <c r="DS166" s="152"/>
      <c r="DT166" s="152"/>
      <c r="DU166" s="152"/>
      <c r="DV166" s="152"/>
      <c r="DW166" s="152"/>
      <c r="DX166" s="152"/>
      <c r="DY166" s="152"/>
      <c r="DZ166" s="152"/>
      <c r="EA166" s="152"/>
      <c r="EB166" s="152"/>
      <c r="EC166" s="152"/>
      <c r="ED166" s="152"/>
      <c r="EE166" s="152"/>
      <c r="EF166" s="152"/>
      <c r="EG166" s="152"/>
      <c r="EH166" s="152"/>
      <c r="EI166" s="152"/>
      <c r="EJ166" s="152"/>
      <c r="EK166" s="152"/>
      <c r="EL166" s="152"/>
      <c r="EM166" s="152"/>
      <c r="EN166" s="152"/>
      <c r="EO166" s="152"/>
      <c r="EP166" s="152"/>
      <c r="EQ166" s="152"/>
      <c r="ER166" s="152"/>
      <c r="ES166" s="152"/>
      <c r="ET166" s="152"/>
      <c r="EU166" s="152"/>
      <c r="EV166" s="152"/>
      <c r="EW166" s="152"/>
      <c r="EX166" s="152"/>
      <c r="EY166" s="152"/>
      <c r="EZ166" s="152"/>
      <c r="FA166" s="152"/>
      <c r="FB166" s="152"/>
      <c r="FC166" s="152"/>
      <c r="FD166" s="152"/>
      <c r="FE166" s="152"/>
      <c r="FF166" s="152"/>
      <c r="FG166" s="152"/>
      <c r="FH166" s="152"/>
      <c r="FI166" s="152"/>
      <c r="FJ166" s="152"/>
      <c r="FK166" s="152"/>
      <c r="FL166" s="152"/>
      <c r="FM166" s="152"/>
      <c r="FN166" s="152"/>
      <c r="FO166" s="152"/>
      <c r="FP166" s="152"/>
      <c r="FQ166" s="152"/>
      <c r="FR166" s="152"/>
      <c r="FS166" s="152"/>
      <c r="FT166" s="152"/>
      <c r="FU166" s="152"/>
      <c r="FV166" s="152"/>
      <c r="FW166" s="152"/>
      <c r="FX166" s="152"/>
    </row>
    <row r="167" spans="1:180" s="150" customFormat="1" ht="40.5" customHeight="1" thickTop="1" thickBot="1" x14ac:dyDescent="0.3">
      <c r="A167" s="307" t="s">
        <v>1157</v>
      </c>
      <c r="B167" s="625" t="s">
        <v>2545</v>
      </c>
      <c r="C167" s="654" t="s">
        <v>53</v>
      </c>
      <c r="D167" s="418">
        <v>2</v>
      </c>
      <c r="E167" s="478">
        <v>30</v>
      </c>
      <c r="F167" s="418">
        <v>3</v>
      </c>
      <c r="G167" s="478">
        <v>520</v>
      </c>
      <c r="H167" s="483">
        <v>140237725</v>
      </c>
      <c r="I167" s="483">
        <f>71175107+29548824</f>
        <v>100723931</v>
      </c>
      <c r="J167" s="426" t="s">
        <v>1085</v>
      </c>
      <c r="K167" s="418" t="s">
        <v>55</v>
      </c>
      <c r="L167" s="478">
        <v>1</v>
      </c>
      <c r="M167" s="478">
        <v>1</v>
      </c>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2"/>
      <c r="BW167" s="152"/>
      <c r="BX167" s="152"/>
      <c r="BY167" s="152"/>
      <c r="BZ167" s="152"/>
      <c r="CA167" s="152"/>
      <c r="CB167" s="152"/>
      <c r="CC167" s="152"/>
      <c r="CD167" s="152"/>
      <c r="CE167" s="152"/>
      <c r="CF167" s="152"/>
      <c r="CG167" s="152"/>
      <c r="CH167" s="152"/>
      <c r="CI167" s="152"/>
      <c r="CJ167" s="152"/>
      <c r="CK167" s="152"/>
      <c r="CL167" s="152"/>
      <c r="CM167" s="152"/>
      <c r="CN167" s="152"/>
      <c r="CO167" s="152"/>
      <c r="CP167" s="152"/>
      <c r="CQ167" s="152"/>
      <c r="CR167" s="152"/>
      <c r="CS167" s="152"/>
      <c r="CT167" s="152"/>
      <c r="CU167" s="152"/>
      <c r="CV167" s="152"/>
      <c r="CW167" s="152"/>
      <c r="CX167" s="152"/>
      <c r="CY167" s="152"/>
      <c r="CZ167" s="152"/>
      <c r="DA167" s="152"/>
      <c r="DB167" s="152"/>
      <c r="DC167" s="152"/>
      <c r="DD167" s="152"/>
      <c r="DE167" s="152"/>
      <c r="DF167" s="152"/>
      <c r="DG167" s="152"/>
      <c r="DH167" s="152"/>
      <c r="DI167" s="152"/>
      <c r="DJ167" s="152"/>
      <c r="DK167" s="152"/>
      <c r="DL167" s="152"/>
      <c r="DM167" s="152"/>
      <c r="DN167" s="152"/>
      <c r="DO167" s="152"/>
      <c r="DP167" s="152"/>
      <c r="DQ167" s="152"/>
      <c r="DR167" s="152"/>
      <c r="DS167" s="152"/>
      <c r="DT167" s="152"/>
      <c r="DU167" s="152"/>
      <c r="DV167" s="152"/>
      <c r="DW167" s="152"/>
      <c r="DX167" s="152"/>
      <c r="DY167" s="152"/>
      <c r="DZ167" s="152"/>
      <c r="EA167" s="152"/>
      <c r="EB167" s="152"/>
      <c r="EC167" s="152"/>
      <c r="ED167" s="152"/>
      <c r="EE167" s="152"/>
      <c r="EF167" s="152"/>
      <c r="EG167" s="152"/>
      <c r="EH167" s="152"/>
      <c r="EI167" s="152"/>
      <c r="EJ167" s="152"/>
      <c r="EK167" s="152"/>
      <c r="EL167" s="152"/>
      <c r="EM167" s="152"/>
      <c r="EN167" s="152"/>
      <c r="EO167" s="152"/>
      <c r="EP167" s="152"/>
      <c r="EQ167" s="152"/>
      <c r="ER167" s="152"/>
      <c r="ES167" s="152"/>
      <c r="ET167" s="152"/>
      <c r="EU167" s="152"/>
      <c r="EV167" s="152"/>
      <c r="EW167" s="152"/>
      <c r="EX167" s="152"/>
      <c r="EY167" s="152"/>
      <c r="EZ167" s="152"/>
      <c r="FA167" s="152"/>
      <c r="FB167" s="152"/>
      <c r="FC167" s="152"/>
      <c r="FD167" s="152"/>
      <c r="FE167" s="152"/>
      <c r="FF167" s="152"/>
      <c r="FG167" s="152"/>
      <c r="FH167" s="152"/>
      <c r="FI167" s="152"/>
      <c r="FJ167" s="152"/>
      <c r="FK167" s="152"/>
      <c r="FL167" s="152"/>
      <c r="FM167" s="152"/>
      <c r="FN167" s="152"/>
      <c r="FO167" s="152"/>
      <c r="FP167" s="152"/>
      <c r="FQ167" s="152"/>
      <c r="FR167" s="152"/>
      <c r="FS167" s="152"/>
      <c r="FT167" s="152"/>
      <c r="FU167" s="152"/>
      <c r="FV167" s="152"/>
      <c r="FW167" s="152"/>
      <c r="FX167" s="152"/>
    </row>
    <row r="168" spans="1:180" s="150" customFormat="1" ht="40.5" customHeight="1" thickTop="1" thickBot="1" x14ac:dyDescent="0.3">
      <c r="A168" s="307" t="s">
        <v>1157</v>
      </c>
      <c r="B168" s="625" t="s">
        <v>2545</v>
      </c>
      <c r="C168" s="654"/>
      <c r="D168" s="478">
        <v>2</v>
      </c>
      <c r="E168" s="478">
        <v>30</v>
      </c>
      <c r="F168" s="478">
        <v>3</v>
      </c>
      <c r="G168" s="478">
        <v>520</v>
      </c>
      <c r="H168" s="483">
        <f>178598332+280000000+124000000+279865</f>
        <v>582878197</v>
      </c>
      <c r="I168" s="483">
        <f>96488386+109014347</f>
        <v>205502733</v>
      </c>
      <c r="J168" s="426" t="s">
        <v>1086</v>
      </c>
      <c r="K168" s="418" t="s">
        <v>55</v>
      </c>
      <c r="L168" s="418">
        <v>13</v>
      </c>
      <c r="M168" s="418">
        <v>13</v>
      </c>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52"/>
      <c r="BX168" s="152"/>
      <c r="BY168" s="152"/>
      <c r="BZ168" s="152"/>
      <c r="CA168" s="152"/>
      <c r="CB168" s="152"/>
      <c r="CC168" s="152"/>
      <c r="CD168" s="152"/>
      <c r="CE168" s="152"/>
      <c r="CF168" s="152"/>
      <c r="CG168" s="152"/>
      <c r="CH168" s="152"/>
      <c r="CI168" s="152"/>
      <c r="CJ168" s="152"/>
      <c r="CK168" s="152"/>
      <c r="CL168" s="152"/>
      <c r="CM168" s="152"/>
      <c r="CN168" s="152"/>
      <c r="CO168" s="152"/>
      <c r="CP168" s="152"/>
      <c r="CQ168" s="152"/>
      <c r="CR168" s="152"/>
      <c r="CS168" s="152"/>
      <c r="CT168" s="152"/>
      <c r="CU168" s="152"/>
      <c r="CV168" s="152"/>
      <c r="CW168" s="152"/>
      <c r="CX168" s="152"/>
      <c r="CY168" s="152"/>
      <c r="CZ168" s="152"/>
      <c r="DA168" s="152"/>
      <c r="DB168" s="152"/>
      <c r="DC168" s="152"/>
      <c r="DD168" s="152"/>
      <c r="DE168" s="152"/>
      <c r="DF168" s="152"/>
      <c r="DG168" s="152"/>
      <c r="DH168" s="152"/>
      <c r="DI168" s="152"/>
      <c r="DJ168" s="152"/>
      <c r="DK168" s="152"/>
      <c r="DL168" s="152"/>
      <c r="DM168" s="152"/>
      <c r="DN168" s="152"/>
      <c r="DO168" s="152"/>
      <c r="DP168" s="152"/>
      <c r="DQ168" s="152"/>
      <c r="DR168" s="152"/>
      <c r="DS168" s="152"/>
      <c r="DT168" s="152"/>
      <c r="DU168" s="152"/>
      <c r="DV168" s="152"/>
      <c r="DW168" s="152"/>
      <c r="DX168" s="152"/>
      <c r="DY168" s="152"/>
      <c r="DZ168" s="152"/>
      <c r="EA168" s="152"/>
      <c r="EB168" s="152"/>
      <c r="EC168" s="152"/>
      <c r="ED168" s="152"/>
      <c r="EE168" s="152"/>
      <c r="EF168" s="152"/>
      <c r="EG168" s="152"/>
      <c r="EH168" s="152"/>
      <c r="EI168" s="152"/>
      <c r="EJ168" s="152"/>
      <c r="EK168" s="152"/>
      <c r="EL168" s="152"/>
      <c r="EM168" s="152"/>
      <c r="EN168" s="152"/>
      <c r="EO168" s="152"/>
      <c r="EP168" s="152"/>
      <c r="EQ168" s="152"/>
      <c r="ER168" s="152"/>
      <c r="ES168" s="152"/>
      <c r="ET168" s="152"/>
      <c r="EU168" s="152"/>
      <c r="EV168" s="152"/>
      <c r="EW168" s="152"/>
      <c r="EX168" s="152"/>
      <c r="EY168" s="152"/>
      <c r="EZ168" s="152"/>
      <c r="FA168" s="152"/>
      <c r="FB168" s="152"/>
      <c r="FC168" s="152"/>
      <c r="FD168" s="152"/>
      <c r="FE168" s="152"/>
      <c r="FF168" s="152"/>
      <c r="FG168" s="152"/>
      <c r="FH168" s="152"/>
      <c r="FI168" s="152"/>
      <c r="FJ168" s="152"/>
      <c r="FK168" s="152"/>
      <c r="FL168" s="152"/>
      <c r="FM168" s="152"/>
      <c r="FN168" s="152"/>
      <c r="FO168" s="152"/>
      <c r="FP168" s="152"/>
      <c r="FQ168" s="152"/>
      <c r="FR168" s="152"/>
      <c r="FS168" s="152"/>
      <c r="FT168" s="152"/>
      <c r="FU168" s="152"/>
      <c r="FV168" s="152"/>
      <c r="FW168" s="152"/>
      <c r="FX168" s="152"/>
    </row>
    <row r="169" spans="1:180" s="150" customFormat="1" ht="40.5" customHeight="1" thickTop="1" thickBot="1" x14ac:dyDescent="0.3">
      <c r="A169" s="307" t="s">
        <v>1157</v>
      </c>
      <c r="B169" s="625" t="s">
        <v>2545</v>
      </c>
      <c r="C169" s="654"/>
      <c r="D169" s="478">
        <v>2</v>
      </c>
      <c r="E169" s="478">
        <v>30</v>
      </c>
      <c r="F169" s="478">
        <v>3</v>
      </c>
      <c r="G169" s="478">
        <v>520</v>
      </c>
      <c r="H169" s="483">
        <f>487444765</f>
        <v>487444765</v>
      </c>
      <c r="I169" s="483">
        <f>34664798+88961533</f>
        <v>123626331</v>
      </c>
      <c r="J169" s="426" t="s">
        <v>1087</v>
      </c>
      <c r="K169" s="418" t="s">
        <v>55</v>
      </c>
      <c r="L169" s="478">
        <v>6</v>
      </c>
      <c r="M169" s="418">
        <v>1</v>
      </c>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c r="BI169" s="152"/>
      <c r="BJ169" s="152"/>
      <c r="BK169" s="152"/>
      <c r="BL169" s="152"/>
      <c r="BM169" s="152"/>
      <c r="BN169" s="152"/>
      <c r="BO169" s="152"/>
      <c r="BP169" s="152"/>
      <c r="BQ169" s="152"/>
      <c r="BR169" s="152"/>
      <c r="BS169" s="152"/>
      <c r="BT169" s="152"/>
      <c r="BU169" s="152"/>
      <c r="BV169" s="152"/>
      <c r="BW169" s="152"/>
      <c r="BX169" s="152"/>
      <c r="BY169" s="152"/>
      <c r="BZ169" s="152"/>
      <c r="CA169" s="152"/>
      <c r="CB169" s="152"/>
      <c r="CC169" s="152"/>
      <c r="CD169" s="152"/>
      <c r="CE169" s="152"/>
      <c r="CF169" s="152"/>
      <c r="CG169" s="152"/>
      <c r="CH169" s="152"/>
      <c r="CI169" s="152"/>
      <c r="CJ169" s="152"/>
      <c r="CK169" s="152"/>
      <c r="CL169" s="152"/>
      <c r="CM169" s="152"/>
      <c r="CN169" s="152"/>
      <c r="CO169" s="152"/>
      <c r="CP169" s="152"/>
      <c r="CQ169" s="152"/>
      <c r="CR169" s="152"/>
      <c r="CS169" s="152"/>
      <c r="CT169" s="152"/>
      <c r="CU169" s="152"/>
      <c r="CV169" s="152"/>
      <c r="CW169" s="152"/>
      <c r="CX169" s="152"/>
      <c r="CY169" s="152"/>
      <c r="CZ169" s="152"/>
      <c r="DA169" s="152"/>
      <c r="DB169" s="152"/>
      <c r="DC169" s="152"/>
      <c r="DD169" s="152"/>
      <c r="DE169" s="152"/>
      <c r="DF169" s="152"/>
      <c r="DG169" s="152"/>
      <c r="DH169" s="152"/>
      <c r="DI169" s="152"/>
      <c r="DJ169" s="152"/>
      <c r="DK169" s="152"/>
      <c r="DL169" s="152"/>
      <c r="DM169" s="152"/>
      <c r="DN169" s="152"/>
      <c r="DO169" s="152"/>
      <c r="DP169" s="152"/>
      <c r="DQ169" s="152"/>
      <c r="DR169" s="152"/>
      <c r="DS169" s="152"/>
      <c r="DT169" s="152"/>
      <c r="DU169" s="152"/>
      <c r="DV169" s="152"/>
      <c r="DW169" s="152"/>
      <c r="DX169" s="152"/>
      <c r="DY169" s="152"/>
      <c r="DZ169" s="152"/>
      <c r="EA169" s="152"/>
      <c r="EB169" s="152"/>
      <c r="EC169" s="152"/>
      <c r="ED169" s="152"/>
      <c r="EE169" s="152"/>
      <c r="EF169" s="152"/>
      <c r="EG169" s="152"/>
      <c r="EH169" s="152"/>
      <c r="EI169" s="152"/>
      <c r="EJ169" s="152"/>
      <c r="EK169" s="152"/>
      <c r="EL169" s="152"/>
      <c r="EM169" s="152"/>
      <c r="EN169" s="152"/>
      <c r="EO169" s="152"/>
      <c r="EP169" s="152"/>
      <c r="EQ169" s="152"/>
      <c r="ER169" s="152"/>
      <c r="ES169" s="152"/>
      <c r="ET169" s="152"/>
      <c r="EU169" s="152"/>
      <c r="EV169" s="152"/>
      <c r="EW169" s="152"/>
      <c r="EX169" s="152"/>
      <c r="EY169" s="152"/>
      <c r="EZ169" s="152"/>
      <c r="FA169" s="152"/>
      <c r="FB169" s="152"/>
      <c r="FC169" s="152"/>
      <c r="FD169" s="152"/>
      <c r="FE169" s="152"/>
      <c r="FF169" s="152"/>
      <c r="FG169" s="152"/>
      <c r="FH169" s="152"/>
      <c r="FI169" s="152"/>
      <c r="FJ169" s="152"/>
      <c r="FK169" s="152"/>
      <c r="FL169" s="152"/>
      <c r="FM169" s="152"/>
      <c r="FN169" s="152"/>
      <c r="FO169" s="152"/>
      <c r="FP169" s="152"/>
      <c r="FQ169" s="152"/>
      <c r="FR169" s="152"/>
      <c r="FS169" s="152"/>
      <c r="FT169" s="152"/>
      <c r="FU169" s="152"/>
      <c r="FV169" s="152"/>
      <c r="FW169" s="152"/>
      <c r="FX169" s="152"/>
    </row>
    <row r="170" spans="1:180" s="150" customFormat="1" ht="34.5" customHeight="1" thickTop="1" thickBot="1" x14ac:dyDescent="0.3">
      <c r="A170" s="307" t="s">
        <v>1157</v>
      </c>
      <c r="B170" s="625" t="s">
        <v>2545</v>
      </c>
      <c r="C170" s="654"/>
      <c r="D170" s="478">
        <v>2</v>
      </c>
      <c r="E170" s="478">
        <v>30</v>
      </c>
      <c r="F170" s="418">
        <v>3</v>
      </c>
      <c r="G170" s="478">
        <v>520</v>
      </c>
      <c r="H170" s="483">
        <v>200000000</v>
      </c>
      <c r="I170" s="483">
        <f>30241350+45187700</f>
        <v>75429050</v>
      </c>
      <c r="J170" s="416" t="s">
        <v>1088</v>
      </c>
      <c r="K170" s="418" t="s">
        <v>25</v>
      </c>
      <c r="L170" s="478">
        <v>5</v>
      </c>
      <c r="M170" s="478">
        <v>2</v>
      </c>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52"/>
      <c r="BV170" s="152"/>
      <c r="BW170" s="152"/>
      <c r="BX170" s="152"/>
      <c r="BY170" s="152"/>
      <c r="BZ170" s="152"/>
      <c r="CA170" s="152"/>
      <c r="CB170" s="152"/>
      <c r="CC170" s="152"/>
      <c r="CD170" s="152"/>
      <c r="CE170" s="152"/>
      <c r="CF170" s="152"/>
      <c r="CG170" s="152"/>
      <c r="CH170" s="152"/>
      <c r="CI170" s="152"/>
      <c r="CJ170" s="152"/>
      <c r="CK170" s="152"/>
      <c r="CL170" s="152"/>
      <c r="CM170" s="152"/>
      <c r="CN170" s="152"/>
      <c r="CO170" s="152"/>
      <c r="CP170" s="152"/>
      <c r="CQ170" s="152"/>
      <c r="CR170" s="152"/>
      <c r="CS170" s="152"/>
      <c r="CT170" s="152"/>
      <c r="CU170" s="152"/>
      <c r="CV170" s="152"/>
      <c r="CW170" s="152"/>
      <c r="CX170" s="152"/>
      <c r="CY170" s="152"/>
      <c r="CZ170" s="152"/>
      <c r="DA170" s="152"/>
      <c r="DB170" s="152"/>
      <c r="DC170" s="152"/>
      <c r="DD170" s="152"/>
      <c r="DE170" s="152"/>
      <c r="DF170" s="152"/>
      <c r="DG170" s="152"/>
      <c r="DH170" s="152"/>
      <c r="DI170" s="152"/>
      <c r="DJ170" s="152"/>
      <c r="DK170" s="152"/>
      <c r="DL170" s="152"/>
      <c r="DM170" s="152"/>
      <c r="DN170" s="152"/>
      <c r="DO170" s="152"/>
      <c r="DP170" s="152"/>
      <c r="DQ170" s="152"/>
      <c r="DR170" s="152"/>
      <c r="DS170" s="152"/>
      <c r="DT170" s="152"/>
      <c r="DU170" s="152"/>
      <c r="DV170" s="152"/>
      <c r="DW170" s="152"/>
      <c r="DX170" s="152"/>
      <c r="DY170" s="152"/>
      <c r="DZ170" s="152"/>
      <c r="EA170" s="152"/>
      <c r="EB170" s="152"/>
      <c r="EC170" s="152"/>
      <c r="ED170" s="152"/>
      <c r="EE170" s="152"/>
      <c r="EF170" s="152"/>
      <c r="EG170" s="152"/>
      <c r="EH170" s="152"/>
      <c r="EI170" s="152"/>
      <c r="EJ170" s="152"/>
      <c r="EK170" s="152"/>
      <c r="EL170" s="152"/>
      <c r="EM170" s="152"/>
      <c r="EN170" s="152"/>
      <c r="EO170" s="152"/>
      <c r="EP170" s="152"/>
      <c r="EQ170" s="152"/>
      <c r="ER170" s="152"/>
      <c r="ES170" s="152"/>
      <c r="ET170" s="152"/>
      <c r="EU170" s="152"/>
      <c r="EV170" s="152"/>
      <c r="EW170" s="152"/>
      <c r="EX170" s="152"/>
      <c r="EY170" s="152"/>
      <c r="EZ170" s="152"/>
      <c r="FA170" s="152"/>
      <c r="FB170" s="152"/>
      <c r="FC170" s="152"/>
      <c r="FD170" s="152"/>
      <c r="FE170" s="152"/>
      <c r="FF170" s="152"/>
      <c r="FG170" s="152"/>
      <c r="FH170" s="152"/>
      <c r="FI170" s="152"/>
      <c r="FJ170" s="152"/>
      <c r="FK170" s="152"/>
      <c r="FL170" s="152"/>
      <c r="FM170" s="152"/>
      <c r="FN170" s="152"/>
      <c r="FO170" s="152"/>
      <c r="FP170" s="152"/>
      <c r="FQ170" s="152"/>
      <c r="FR170" s="152"/>
      <c r="FS170" s="152"/>
      <c r="FT170" s="152"/>
      <c r="FU170" s="152"/>
      <c r="FV170" s="152"/>
      <c r="FW170" s="152"/>
      <c r="FX170" s="152"/>
    </row>
    <row r="171" spans="1:180" s="153" customFormat="1" ht="17.25" customHeight="1" thickTop="1" thickBot="1" x14ac:dyDescent="0.3">
      <c r="A171" s="439"/>
      <c r="B171" s="475"/>
      <c r="C171" s="158"/>
      <c r="D171" s="471"/>
      <c r="E171" s="471"/>
      <c r="F171" s="165"/>
      <c r="G171" s="471"/>
      <c r="H171" s="471"/>
      <c r="I171" s="471"/>
      <c r="J171" s="165"/>
      <c r="K171" s="165"/>
      <c r="L171" s="471"/>
      <c r="M171" s="471"/>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c r="BI171" s="152"/>
      <c r="BJ171" s="152"/>
      <c r="BK171" s="152"/>
      <c r="BL171" s="152"/>
      <c r="BM171" s="152"/>
      <c r="BN171" s="152"/>
      <c r="BO171" s="152"/>
      <c r="BP171" s="152"/>
      <c r="BQ171" s="152"/>
      <c r="BR171" s="152"/>
      <c r="BS171" s="152"/>
      <c r="BT171" s="152"/>
      <c r="BU171" s="152"/>
      <c r="BV171" s="152"/>
      <c r="BW171" s="152"/>
      <c r="BX171" s="152"/>
      <c r="BY171" s="152"/>
      <c r="BZ171" s="152"/>
      <c r="CA171" s="152"/>
      <c r="CB171" s="152"/>
      <c r="CC171" s="152"/>
      <c r="CD171" s="152"/>
      <c r="CE171" s="152"/>
      <c r="CF171" s="152"/>
      <c r="CG171" s="152"/>
      <c r="CH171" s="152"/>
      <c r="CI171" s="152"/>
      <c r="CJ171" s="152"/>
      <c r="CK171" s="152"/>
      <c r="CL171" s="152"/>
      <c r="CM171" s="152"/>
      <c r="CN171" s="152"/>
      <c r="CO171" s="152"/>
      <c r="CP171" s="152"/>
      <c r="CQ171" s="152"/>
      <c r="CR171" s="152"/>
      <c r="CS171" s="152"/>
      <c r="CT171" s="152"/>
      <c r="CU171" s="152"/>
      <c r="CV171" s="152"/>
      <c r="CW171" s="152"/>
      <c r="CX171" s="152"/>
      <c r="CY171" s="152"/>
      <c r="CZ171" s="152"/>
      <c r="DA171" s="152"/>
      <c r="DB171" s="152"/>
      <c r="DC171" s="152"/>
      <c r="DD171" s="152"/>
      <c r="DE171" s="152"/>
      <c r="DF171" s="152"/>
      <c r="DG171" s="152"/>
      <c r="DH171" s="152"/>
      <c r="DI171" s="152"/>
      <c r="DJ171" s="152"/>
      <c r="DK171" s="152"/>
      <c r="DL171" s="152"/>
      <c r="DM171" s="152"/>
      <c r="DN171" s="152"/>
      <c r="DO171" s="152"/>
      <c r="DP171" s="152"/>
      <c r="DQ171" s="152"/>
      <c r="DR171" s="152"/>
      <c r="DS171" s="152"/>
      <c r="DT171" s="152"/>
      <c r="DU171" s="152"/>
      <c r="DV171" s="152"/>
      <c r="DW171" s="152"/>
      <c r="DX171" s="152"/>
      <c r="DY171" s="152"/>
      <c r="DZ171" s="152"/>
      <c r="EA171" s="152"/>
      <c r="EB171" s="152"/>
      <c r="EC171" s="152"/>
      <c r="ED171" s="152"/>
      <c r="EE171" s="152"/>
      <c r="EF171" s="152"/>
      <c r="EG171" s="152"/>
      <c r="EH171" s="152"/>
      <c r="EI171" s="152"/>
      <c r="EJ171" s="152"/>
      <c r="EK171" s="152"/>
      <c r="EL171" s="152"/>
      <c r="EM171" s="152"/>
      <c r="EN171" s="152"/>
      <c r="EO171" s="152"/>
      <c r="EP171" s="152"/>
      <c r="EQ171" s="152"/>
      <c r="ER171" s="152"/>
      <c r="ES171" s="152"/>
      <c r="ET171" s="152"/>
      <c r="EU171" s="152"/>
      <c r="EV171" s="152"/>
      <c r="EW171" s="152"/>
      <c r="EX171" s="152"/>
      <c r="EY171" s="152"/>
      <c r="EZ171" s="152"/>
      <c r="FA171" s="152"/>
      <c r="FB171" s="152"/>
      <c r="FC171" s="152"/>
      <c r="FD171" s="152"/>
      <c r="FE171" s="152"/>
      <c r="FF171" s="152"/>
      <c r="FG171" s="152"/>
      <c r="FH171" s="152"/>
      <c r="FI171" s="152"/>
      <c r="FJ171" s="152"/>
      <c r="FK171" s="152"/>
      <c r="FL171" s="152"/>
      <c r="FM171" s="152"/>
      <c r="FN171" s="152"/>
      <c r="FO171" s="152"/>
      <c r="FP171" s="152"/>
      <c r="FQ171" s="152"/>
      <c r="FR171" s="152"/>
      <c r="FS171" s="152"/>
      <c r="FT171" s="152"/>
      <c r="FU171" s="152"/>
      <c r="FV171" s="152"/>
      <c r="FW171" s="152"/>
      <c r="FX171" s="152"/>
    </row>
    <row r="172" spans="1:180" s="168" customFormat="1" ht="30" customHeight="1" thickTop="1" thickBot="1" x14ac:dyDescent="0.3">
      <c r="A172" s="639" t="s">
        <v>0</v>
      </c>
      <c r="B172" s="639" t="s">
        <v>1</v>
      </c>
      <c r="C172" s="639" t="s">
        <v>2569</v>
      </c>
      <c r="D172" s="636" t="s">
        <v>1961</v>
      </c>
      <c r="E172" s="637"/>
      <c r="F172" s="637"/>
      <c r="G172" s="638"/>
      <c r="H172" s="636" t="s">
        <v>3</v>
      </c>
      <c r="I172" s="637"/>
      <c r="J172" s="636" t="s">
        <v>1962</v>
      </c>
      <c r="K172" s="637"/>
      <c r="L172" s="637"/>
      <c r="M172" s="638"/>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row>
    <row r="173" spans="1:180" s="152" customFormat="1" ht="34.5" customHeight="1" thickTop="1" thickBot="1" x14ac:dyDescent="0.3">
      <c r="A173" s="661"/>
      <c r="B173" s="661"/>
      <c r="C173" s="661"/>
      <c r="D173" s="406" t="s">
        <v>4</v>
      </c>
      <c r="E173" s="406" t="s">
        <v>5</v>
      </c>
      <c r="F173" s="406" t="s">
        <v>6</v>
      </c>
      <c r="G173" s="406" t="s">
        <v>7</v>
      </c>
      <c r="H173" s="406" t="s">
        <v>2</v>
      </c>
      <c r="I173" s="406" t="s">
        <v>3</v>
      </c>
      <c r="J173" s="406" t="s">
        <v>8</v>
      </c>
      <c r="K173" s="406" t="s">
        <v>9</v>
      </c>
      <c r="L173" s="406" t="s">
        <v>1963</v>
      </c>
      <c r="M173" s="406" t="s">
        <v>1964</v>
      </c>
    </row>
    <row r="174" spans="1:180" s="150" customFormat="1" ht="51" customHeight="1" thickTop="1" thickBot="1" x14ac:dyDescent="0.3">
      <c r="A174" s="307" t="s">
        <v>1158</v>
      </c>
      <c r="B174" s="625" t="s">
        <v>2545</v>
      </c>
      <c r="C174" s="413" t="s">
        <v>18</v>
      </c>
      <c r="D174" s="418">
        <v>2</v>
      </c>
      <c r="E174" s="418">
        <v>30</v>
      </c>
      <c r="F174" s="418">
        <v>3</v>
      </c>
      <c r="G174" s="418">
        <v>848</v>
      </c>
      <c r="H174" s="483">
        <v>379593177</v>
      </c>
      <c r="I174" s="483">
        <f>4566273+119208529</f>
        <v>123774802</v>
      </c>
      <c r="J174" s="416" t="s">
        <v>1089</v>
      </c>
      <c r="K174" s="418" t="s">
        <v>20</v>
      </c>
      <c r="L174" s="417">
        <v>383</v>
      </c>
      <c r="M174" s="417">
        <v>383</v>
      </c>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52"/>
      <c r="CG174" s="152"/>
      <c r="CH174" s="152"/>
      <c r="CI174" s="152"/>
      <c r="CJ174" s="152"/>
      <c r="CK174" s="152"/>
      <c r="CL174" s="152"/>
      <c r="CM174" s="152"/>
      <c r="CN174" s="152"/>
      <c r="CO174" s="152"/>
      <c r="CP174" s="152"/>
      <c r="CQ174" s="152"/>
      <c r="CR174" s="152"/>
      <c r="CS174" s="152"/>
      <c r="CT174" s="152"/>
      <c r="CU174" s="152"/>
      <c r="CV174" s="152"/>
      <c r="CW174" s="152"/>
      <c r="CX174" s="152"/>
      <c r="CY174" s="152"/>
      <c r="CZ174" s="152"/>
      <c r="DA174" s="152"/>
      <c r="DB174" s="152"/>
      <c r="DC174" s="152"/>
      <c r="DD174" s="152"/>
      <c r="DE174" s="152"/>
      <c r="DF174" s="152"/>
      <c r="DG174" s="152"/>
      <c r="DH174" s="152"/>
      <c r="DI174" s="152"/>
      <c r="DJ174" s="152"/>
      <c r="DK174" s="152"/>
      <c r="DL174" s="152"/>
      <c r="DM174" s="152"/>
      <c r="DN174" s="152"/>
      <c r="DO174" s="152"/>
      <c r="DP174" s="152"/>
      <c r="DQ174" s="152"/>
      <c r="DR174" s="152"/>
      <c r="DS174" s="152"/>
      <c r="DT174" s="152"/>
      <c r="DU174" s="152"/>
      <c r="DV174" s="152"/>
      <c r="DW174" s="152"/>
      <c r="DX174" s="152"/>
      <c r="DY174" s="152"/>
      <c r="DZ174" s="152"/>
      <c r="EA174" s="152"/>
      <c r="EB174" s="152"/>
      <c r="EC174" s="152"/>
      <c r="ED174" s="152"/>
      <c r="EE174" s="152"/>
      <c r="EF174" s="152"/>
      <c r="EG174" s="152"/>
      <c r="EH174" s="152"/>
      <c r="EI174" s="152"/>
      <c r="EJ174" s="152"/>
      <c r="EK174" s="152"/>
      <c r="EL174" s="152"/>
      <c r="EM174" s="152"/>
      <c r="EN174" s="152"/>
      <c r="EO174" s="152"/>
      <c r="EP174" s="152"/>
      <c r="EQ174" s="152"/>
      <c r="ER174" s="152"/>
      <c r="ES174" s="152"/>
      <c r="ET174" s="152"/>
      <c r="EU174" s="152"/>
      <c r="EV174" s="152"/>
      <c r="EW174" s="152"/>
      <c r="EX174" s="152"/>
      <c r="EY174" s="152"/>
      <c r="EZ174" s="152"/>
      <c r="FA174" s="152"/>
      <c r="FB174" s="152"/>
      <c r="FC174" s="152"/>
      <c r="FD174" s="152"/>
      <c r="FE174" s="152"/>
      <c r="FF174" s="152"/>
      <c r="FG174" s="152"/>
      <c r="FH174" s="152"/>
      <c r="FI174" s="152"/>
      <c r="FJ174" s="152"/>
      <c r="FK174" s="152"/>
      <c r="FL174" s="152"/>
      <c r="FM174" s="152"/>
      <c r="FN174" s="152"/>
      <c r="FO174" s="152"/>
      <c r="FP174" s="152"/>
      <c r="FQ174" s="152"/>
      <c r="FR174" s="152"/>
      <c r="FS174" s="152"/>
      <c r="FT174" s="152"/>
      <c r="FU174" s="152"/>
      <c r="FV174" s="152"/>
      <c r="FW174" s="152"/>
      <c r="FX174" s="152"/>
    </row>
    <row r="175" spans="1:180" s="150" customFormat="1" ht="29.25" customHeight="1" thickTop="1" thickBot="1" x14ac:dyDescent="0.3">
      <c r="A175" s="307" t="s">
        <v>1158</v>
      </c>
      <c r="B175" s="625" t="s">
        <v>2545</v>
      </c>
      <c r="C175" s="651" t="s">
        <v>53</v>
      </c>
      <c r="D175" s="418">
        <v>2</v>
      </c>
      <c r="E175" s="418">
        <v>30</v>
      </c>
      <c r="F175" s="418">
        <v>3</v>
      </c>
      <c r="G175" s="418">
        <v>520</v>
      </c>
      <c r="H175" s="483">
        <v>110000000</v>
      </c>
      <c r="I175" s="483">
        <f>36436726+58552574</f>
        <v>94989300</v>
      </c>
      <c r="J175" s="416" t="s">
        <v>1090</v>
      </c>
      <c r="K175" s="418" t="s">
        <v>55</v>
      </c>
      <c r="L175" s="417">
        <v>1</v>
      </c>
      <c r="M175" s="417">
        <v>1</v>
      </c>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c r="BI175" s="152"/>
      <c r="BJ175" s="152"/>
      <c r="BK175" s="152"/>
      <c r="BL175" s="152"/>
      <c r="BM175" s="152"/>
      <c r="BN175" s="152"/>
      <c r="BO175" s="152"/>
      <c r="BP175" s="152"/>
      <c r="BQ175" s="152"/>
      <c r="BR175" s="152"/>
      <c r="BS175" s="152"/>
      <c r="BT175" s="152"/>
      <c r="BU175" s="152"/>
      <c r="BV175" s="152"/>
      <c r="BW175" s="152"/>
      <c r="BX175" s="152"/>
      <c r="BY175" s="152"/>
      <c r="BZ175" s="152"/>
      <c r="CA175" s="152"/>
      <c r="CB175" s="152"/>
      <c r="CC175" s="152"/>
      <c r="CD175" s="152"/>
      <c r="CE175" s="152"/>
      <c r="CF175" s="152"/>
      <c r="CG175" s="152"/>
      <c r="CH175" s="152"/>
      <c r="CI175" s="152"/>
      <c r="CJ175" s="152"/>
      <c r="CK175" s="152"/>
      <c r="CL175" s="152"/>
      <c r="CM175" s="152"/>
      <c r="CN175" s="152"/>
      <c r="CO175" s="152"/>
      <c r="CP175" s="152"/>
      <c r="CQ175" s="152"/>
      <c r="CR175" s="152"/>
      <c r="CS175" s="152"/>
      <c r="CT175" s="152"/>
      <c r="CU175" s="152"/>
      <c r="CV175" s="152"/>
      <c r="CW175" s="152"/>
      <c r="CX175" s="152"/>
      <c r="CY175" s="152"/>
      <c r="CZ175" s="152"/>
      <c r="DA175" s="152"/>
      <c r="DB175" s="152"/>
      <c r="DC175" s="152"/>
      <c r="DD175" s="152"/>
      <c r="DE175" s="152"/>
      <c r="DF175" s="152"/>
      <c r="DG175" s="152"/>
      <c r="DH175" s="152"/>
      <c r="DI175" s="152"/>
      <c r="DJ175" s="152"/>
      <c r="DK175" s="152"/>
      <c r="DL175" s="152"/>
      <c r="DM175" s="152"/>
      <c r="DN175" s="152"/>
      <c r="DO175" s="152"/>
      <c r="DP175" s="152"/>
      <c r="DQ175" s="152"/>
      <c r="DR175" s="152"/>
      <c r="DS175" s="152"/>
      <c r="DT175" s="152"/>
      <c r="DU175" s="152"/>
      <c r="DV175" s="152"/>
      <c r="DW175" s="152"/>
      <c r="DX175" s="152"/>
      <c r="DY175" s="152"/>
      <c r="DZ175" s="152"/>
      <c r="EA175" s="152"/>
      <c r="EB175" s="152"/>
      <c r="EC175" s="152"/>
      <c r="ED175" s="152"/>
      <c r="EE175" s="152"/>
      <c r="EF175" s="152"/>
      <c r="EG175" s="152"/>
      <c r="EH175" s="152"/>
      <c r="EI175" s="152"/>
      <c r="EJ175" s="152"/>
      <c r="EK175" s="152"/>
      <c r="EL175" s="152"/>
      <c r="EM175" s="152"/>
      <c r="EN175" s="152"/>
      <c r="EO175" s="152"/>
      <c r="EP175" s="152"/>
      <c r="EQ175" s="152"/>
      <c r="ER175" s="152"/>
      <c r="ES175" s="152"/>
      <c r="ET175" s="152"/>
      <c r="EU175" s="152"/>
      <c r="EV175" s="152"/>
      <c r="EW175" s="152"/>
      <c r="EX175" s="152"/>
      <c r="EY175" s="152"/>
      <c r="EZ175" s="152"/>
      <c r="FA175" s="152"/>
      <c r="FB175" s="152"/>
      <c r="FC175" s="152"/>
      <c r="FD175" s="152"/>
      <c r="FE175" s="152"/>
      <c r="FF175" s="152"/>
      <c r="FG175" s="152"/>
      <c r="FH175" s="152"/>
      <c r="FI175" s="152"/>
      <c r="FJ175" s="152"/>
      <c r="FK175" s="152"/>
      <c r="FL175" s="152"/>
      <c r="FM175" s="152"/>
      <c r="FN175" s="152"/>
      <c r="FO175" s="152"/>
      <c r="FP175" s="152"/>
      <c r="FQ175" s="152"/>
      <c r="FR175" s="152"/>
      <c r="FS175" s="152"/>
      <c r="FT175" s="152"/>
      <c r="FU175" s="152"/>
      <c r="FV175" s="152"/>
      <c r="FW175" s="152"/>
      <c r="FX175" s="152"/>
    </row>
    <row r="176" spans="1:180" s="150" customFormat="1" ht="29.25" customHeight="1" thickTop="1" thickBot="1" x14ac:dyDescent="0.3">
      <c r="A176" s="307" t="s">
        <v>1158</v>
      </c>
      <c r="B176" s="625" t="s">
        <v>2545</v>
      </c>
      <c r="C176" s="652"/>
      <c r="D176" s="418">
        <v>2</v>
      </c>
      <c r="E176" s="418">
        <v>30</v>
      </c>
      <c r="F176" s="418">
        <v>3</v>
      </c>
      <c r="G176" s="418">
        <v>520</v>
      </c>
      <c r="H176" s="483">
        <v>4257500</v>
      </c>
      <c r="I176" s="483">
        <v>4257501</v>
      </c>
      <c r="J176" s="416" t="s">
        <v>1091</v>
      </c>
      <c r="K176" s="418" t="s">
        <v>55</v>
      </c>
      <c r="L176" s="417">
        <v>1</v>
      </c>
      <c r="M176" s="417">
        <v>1</v>
      </c>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c r="BI176" s="152"/>
      <c r="BJ176" s="152"/>
      <c r="BK176" s="152"/>
      <c r="BL176" s="152"/>
      <c r="BM176" s="152"/>
      <c r="BN176" s="152"/>
      <c r="BO176" s="152"/>
      <c r="BP176" s="152"/>
      <c r="BQ176" s="152"/>
      <c r="BR176" s="152"/>
      <c r="BS176" s="152"/>
      <c r="BT176" s="152"/>
      <c r="BU176" s="152"/>
      <c r="BV176" s="152"/>
      <c r="BW176" s="152"/>
      <c r="BX176" s="152"/>
      <c r="BY176" s="152"/>
      <c r="BZ176" s="152"/>
      <c r="CA176" s="152"/>
      <c r="CB176" s="152"/>
      <c r="CC176" s="152"/>
      <c r="CD176" s="152"/>
      <c r="CE176" s="152"/>
      <c r="CF176" s="152"/>
      <c r="CG176" s="152"/>
      <c r="CH176" s="152"/>
      <c r="CI176" s="152"/>
      <c r="CJ176" s="152"/>
      <c r="CK176" s="152"/>
      <c r="CL176" s="152"/>
      <c r="CM176" s="152"/>
      <c r="CN176" s="152"/>
      <c r="CO176" s="152"/>
      <c r="CP176" s="152"/>
      <c r="CQ176" s="152"/>
      <c r="CR176" s="152"/>
      <c r="CS176" s="152"/>
      <c r="CT176" s="152"/>
      <c r="CU176" s="152"/>
      <c r="CV176" s="152"/>
      <c r="CW176" s="152"/>
      <c r="CX176" s="152"/>
      <c r="CY176" s="152"/>
      <c r="CZ176" s="152"/>
      <c r="DA176" s="152"/>
      <c r="DB176" s="152"/>
      <c r="DC176" s="152"/>
      <c r="DD176" s="152"/>
      <c r="DE176" s="152"/>
      <c r="DF176" s="152"/>
      <c r="DG176" s="152"/>
      <c r="DH176" s="152"/>
      <c r="DI176" s="152"/>
      <c r="DJ176" s="152"/>
      <c r="DK176" s="152"/>
      <c r="DL176" s="152"/>
      <c r="DM176" s="152"/>
      <c r="DN176" s="152"/>
      <c r="DO176" s="152"/>
      <c r="DP176" s="152"/>
      <c r="DQ176" s="152"/>
      <c r="DR176" s="152"/>
      <c r="DS176" s="152"/>
      <c r="DT176" s="152"/>
      <c r="DU176" s="152"/>
      <c r="DV176" s="152"/>
      <c r="DW176" s="152"/>
      <c r="DX176" s="152"/>
      <c r="DY176" s="152"/>
      <c r="DZ176" s="152"/>
      <c r="EA176" s="152"/>
      <c r="EB176" s="152"/>
      <c r="EC176" s="152"/>
      <c r="ED176" s="152"/>
      <c r="EE176" s="152"/>
      <c r="EF176" s="152"/>
      <c r="EG176" s="152"/>
      <c r="EH176" s="152"/>
      <c r="EI176" s="152"/>
      <c r="EJ176" s="152"/>
      <c r="EK176" s="152"/>
      <c r="EL176" s="152"/>
      <c r="EM176" s="152"/>
      <c r="EN176" s="152"/>
      <c r="EO176" s="152"/>
      <c r="EP176" s="152"/>
      <c r="EQ176" s="152"/>
      <c r="ER176" s="152"/>
      <c r="ES176" s="152"/>
      <c r="ET176" s="152"/>
      <c r="EU176" s="152"/>
      <c r="EV176" s="152"/>
      <c r="EW176" s="152"/>
      <c r="EX176" s="152"/>
      <c r="EY176" s="152"/>
      <c r="EZ176" s="152"/>
      <c r="FA176" s="152"/>
      <c r="FB176" s="152"/>
      <c r="FC176" s="152"/>
      <c r="FD176" s="152"/>
      <c r="FE176" s="152"/>
      <c r="FF176" s="152"/>
      <c r="FG176" s="152"/>
      <c r="FH176" s="152"/>
      <c r="FI176" s="152"/>
      <c r="FJ176" s="152"/>
      <c r="FK176" s="152"/>
      <c r="FL176" s="152"/>
      <c r="FM176" s="152"/>
      <c r="FN176" s="152"/>
      <c r="FO176" s="152"/>
      <c r="FP176" s="152"/>
      <c r="FQ176" s="152"/>
      <c r="FR176" s="152"/>
      <c r="FS176" s="152"/>
      <c r="FT176" s="152"/>
      <c r="FU176" s="152"/>
      <c r="FV176" s="152"/>
      <c r="FW176" s="152"/>
      <c r="FX176" s="152"/>
    </row>
    <row r="177" spans="1:180" s="150" customFormat="1" ht="29.25" customHeight="1" thickTop="1" thickBot="1" x14ac:dyDescent="0.3">
      <c r="A177" s="307" t="s">
        <v>1158</v>
      </c>
      <c r="B177" s="625" t="s">
        <v>2545</v>
      </c>
      <c r="C177" s="652"/>
      <c r="D177" s="418">
        <v>2</v>
      </c>
      <c r="E177" s="418">
        <v>30</v>
      </c>
      <c r="F177" s="418">
        <v>3</v>
      </c>
      <c r="G177" s="418">
        <v>520</v>
      </c>
      <c r="H177" s="483">
        <f>190216000+9784600</f>
        <v>200000600</v>
      </c>
      <c r="I177" s="483">
        <f>33900400+50285600+98230000+9784600</f>
        <v>192200600</v>
      </c>
      <c r="J177" s="416" t="s">
        <v>1092</v>
      </c>
      <c r="K177" s="418" t="s">
        <v>13</v>
      </c>
      <c r="L177" s="417">
        <v>1</v>
      </c>
      <c r="M177" s="417">
        <v>1</v>
      </c>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c r="CG177" s="152"/>
      <c r="CH177" s="152"/>
      <c r="CI177" s="152"/>
      <c r="CJ177" s="152"/>
      <c r="CK177" s="152"/>
      <c r="CL177" s="152"/>
      <c r="CM177" s="152"/>
      <c r="CN177" s="152"/>
      <c r="CO177" s="152"/>
      <c r="CP177" s="152"/>
      <c r="CQ177" s="152"/>
      <c r="CR177" s="152"/>
      <c r="CS177" s="152"/>
      <c r="CT177" s="152"/>
      <c r="CU177" s="152"/>
      <c r="CV177" s="152"/>
      <c r="CW177" s="152"/>
      <c r="CX177" s="152"/>
      <c r="CY177" s="152"/>
      <c r="CZ177" s="152"/>
      <c r="DA177" s="152"/>
      <c r="DB177" s="152"/>
      <c r="DC177" s="152"/>
      <c r="DD177" s="152"/>
      <c r="DE177" s="152"/>
      <c r="DF177" s="152"/>
      <c r="DG177" s="152"/>
      <c r="DH177" s="152"/>
      <c r="DI177" s="152"/>
      <c r="DJ177" s="152"/>
      <c r="DK177" s="152"/>
      <c r="DL177" s="152"/>
      <c r="DM177" s="152"/>
      <c r="DN177" s="152"/>
      <c r="DO177" s="152"/>
      <c r="DP177" s="152"/>
      <c r="DQ177" s="152"/>
      <c r="DR177" s="152"/>
      <c r="DS177" s="152"/>
      <c r="DT177" s="152"/>
      <c r="DU177" s="152"/>
      <c r="DV177" s="152"/>
      <c r="DW177" s="152"/>
      <c r="DX177" s="152"/>
      <c r="DY177" s="152"/>
      <c r="DZ177" s="152"/>
      <c r="EA177" s="152"/>
      <c r="EB177" s="152"/>
      <c r="EC177" s="152"/>
      <c r="ED177" s="152"/>
      <c r="EE177" s="152"/>
      <c r="EF177" s="152"/>
      <c r="EG177" s="152"/>
      <c r="EH177" s="152"/>
      <c r="EI177" s="152"/>
      <c r="EJ177" s="152"/>
      <c r="EK177" s="152"/>
      <c r="EL177" s="152"/>
      <c r="EM177" s="152"/>
      <c r="EN177" s="152"/>
      <c r="EO177" s="152"/>
      <c r="EP177" s="152"/>
      <c r="EQ177" s="152"/>
      <c r="ER177" s="152"/>
      <c r="ES177" s="152"/>
      <c r="ET177" s="152"/>
      <c r="EU177" s="152"/>
      <c r="EV177" s="152"/>
      <c r="EW177" s="152"/>
      <c r="EX177" s="152"/>
      <c r="EY177" s="152"/>
      <c r="EZ177" s="152"/>
      <c r="FA177" s="152"/>
      <c r="FB177" s="152"/>
      <c r="FC177" s="152"/>
      <c r="FD177" s="152"/>
      <c r="FE177" s="152"/>
      <c r="FF177" s="152"/>
      <c r="FG177" s="152"/>
      <c r="FH177" s="152"/>
      <c r="FI177" s="152"/>
      <c r="FJ177" s="152"/>
      <c r="FK177" s="152"/>
      <c r="FL177" s="152"/>
      <c r="FM177" s="152"/>
      <c r="FN177" s="152"/>
      <c r="FO177" s="152"/>
      <c r="FP177" s="152"/>
      <c r="FQ177" s="152"/>
      <c r="FR177" s="152"/>
      <c r="FS177" s="152"/>
      <c r="FT177" s="152"/>
      <c r="FU177" s="152"/>
      <c r="FV177" s="152"/>
      <c r="FW177" s="152"/>
      <c r="FX177" s="152"/>
    </row>
    <row r="178" spans="1:180" s="150" customFormat="1" ht="35.25" customHeight="1" thickTop="1" thickBot="1" x14ac:dyDescent="0.3">
      <c r="A178" s="307" t="s">
        <v>1158</v>
      </c>
      <c r="B178" s="625" t="s">
        <v>2545</v>
      </c>
      <c r="C178" s="652"/>
      <c r="D178" s="417">
        <v>3</v>
      </c>
      <c r="E178" s="417">
        <v>30</v>
      </c>
      <c r="F178" s="417">
        <v>3</v>
      </c>
      <c r="G178" s="417">
        <v>520</v>
      </c>
      <c r="H178" s="483">
        <v>125000000</v>
      </c>
      <c r="I178" s="483">
        <f>14859795+37560000+48605390+6843015</f>
        <v>107868200</v>
      </c>
      <c r="J178" s="416" t="s">
        <v>1079</v>
      </c>
      <c r="K178" s="417" t="s">
        <v>25</v>
      </c>
      <c r="L178" s="417">
        <v>2</v>
      </c>
      <c r="M178" s="417">
        <v>2</v>
      </c>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c r="CF178" s="152"/>
      <c r="CG178" s="152"/>
      <c r="CH178" s="152"/>
      <c r="CI178" s="152"/>
      <c r="CJ178" s="152"/>
      <c r="CK178" s="152"/>
      <c r="CL178" s="152"/>
      <c r="CM178" s="152"/>
      <c r="CN178" s="152"/>
      <c r="CO178" s="152"/>
      <c r="CP178" s="152"/>
      <c r="CQ178" s="152"/>
      <c r="CR178" s="152"/>
      <c r="CS178" s="152"/>
      <c r="CT178" s="152"/>
      <c r="CU178" s="152"/>
      <c r="CV178" s="152"/>
      <c r="CW178" s="152"/>
      <c r="CX178" s="152"/>
      <c r="CY178" s="152"/>
      <c r="CZ178" s="152"/>
      <c r="DA178" s="152"/>
      <c r="DB178" s="152"/>
      <c r="DC178" s="152"/>
      <c r="DD178" s="152"/>
      <c r="DE178" s="152"/>
      <c r="DF178" s="152"/>
      <c r="DG178" s="152"/>
      <c r="DH178" s="152"/>
      <c r="DI178" s="152"/>
      <c r="DJ178" s="152"/>
      <c r="DK178" s="152"/>
      <c r="DL178" s="152"/>
      <c r="DM178" s="152"/>
      <c r="DN178" s="152"/>
      <c r="DO178" s="152"/>
      <c r="DP178" s="152"/>
      <c r="DQ178" s="152"/>
      <c r="DR178" s="152"/>
      <c r="DS178" s="152"/>
      <c r="DT178" s="152"/>
      <c r="DU178" s="152"/>
      <c r="DV178" s="152"/>
      <c r="DW178" s="152"/>
      <c r="DX178" s="152"/>
      <c r="DY178" s="152"/>
      <c r="DZ178" s="152"/>
      <c r="EA178" s="152"/>
      <c r="EB178" s="152"/>
      <c r="EC178" s="152"/>
      <c r="ED178" s="152"/>
      <c r="EE178" s="152"/>
      <c r="EF178" s="152"/>
      <c r="EG178" s="152"/>
      <c r="EH178" s="152"/>
      <c r="EI178" s="152"/>
      <c r="EJ178" s="152"/>
      <c r="EK178" s="152"/>
      <c r="EL178" s="152"/>
      <c r="EM178" s="152"/>
      <c r="EN178" s="152"/>
      <c r="EO178" s="152"/>
      <c r="EP178" s="152"/>
      <c r="EQ178" s="152"/>
      <c r="ER178" s="152"/>
      <c r="ES178" s="152"/>
      <c r="ET178" s="152"/>
      <c r="EU178" s="152"/>
      <c r="EV178" s="152"/>
      <c r="EW178" s="152"/>
      <c r="EX178" s="152"/>
      <c r="EY178" s="152"/>
      <c r="EZ178" s="152"/>
      <c r="FA178" s="152"/>
      <c r="FB178" s="152"/>
      <c r="FC178" s="152"/>
      <c r="FD178" s="152"/>
      <c r="FE178" s="152"/>
      <c r="FF178" s="152"/>
      <c r="FG178" s="152"/>
      <c r="FH178" s="152"/>
      <c r="FI178" s="152"/>
      <c r="FJ178" s="152"/>
      <c r="FK178" s="152"/>
      <c r="FL178" s="152"/>
      <c r="FM178" s="152"/>
      <c r="FN178" s="152"/>
      <c r="FO178" s="152"/>
      <c r="FP178" s="152"/>
      <c r="FQ178" s="152"/>
      <c r="FR178" s="152"/>
      <c r="FS178" s="152"/>
      <c r="FT178" s="152"/>
      <c r="FU178" s="152"/>
      <c r="FV178" s="152"/>
      <c r="FW178" s="152"/>
      <c r="FX178" s="152"/>
    </row>
    <row r="179" spans="1:180" s="150" customFormat="1" ht="35.25" customHeight="1" thickTop="1" thickBot="1" x14ac:dyDescent="0.3">
      <c r="A179" s="307" t="s">
        <v>1158</v>
      </c>
      <c r="B179" s="625" t="s">
        <v>2545</v>
      </c>
      <c r="C179" s="653"/>
      <c r="D179" s="418">
        <v>2</v>
      </c>
      <c r="E179" s="418">
        <v>30</v>
      </c>
      <c r="F179" s="418">
        <v>3</v>
      </c>
      <c r="G179" s="418">
        <v>520</v>
      </c>
      <c r="H179" s="483">
        <f>266505859-9784600+229896011</f>
        <v>486617270</v>
      </c>
      <c r="I179" s="483">
        <v>0</v>
      </c>
      <c r="J179" s="416" t="s">
        <v>1093</v>
      </c>
      <c r="K179" s="418" t="s">
        <v>13</v>
      </c>
      <c r="L179" s="417">
        <v>2</v>
      </c>
      <c r="M179" s="417">
        <v>0</v>
      </c>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c r="BI179" s="152"/>
      <c r="BJ179" s="152"/>
      <c r="BK179" s="152"/>
      <c r="BL179" s="152"/>
      <c r="BM179" s="152"/>
      <c r="BN179" s="152"/>
      <c r="BO179" s="152"/>
      <c r="BP179" s="152"/>
      <c r="BQ179" s="152"/>
      <c r="BR179" s="152"/>
      <c r="BS179" s="152"/>
      <c r="BT179" s="152"/>
      <c r="BU179" s="152"/>
      <c r="BV179" s="152"/>
      <c r="BW179" s="152"/>
      <c r="BX179" s="152"/>
      <c r="BY179" s="152"/>
      <c r="BZ179" s="152"/>
      <c r="CA179" s="152"/>
      <c r="CB179" s="152"/>
      <c r="CC179" s="152"/>
      <c r="CD179" s="152"/>
      <c r="CE179" s="152"/>
      <c r="CF179" s="152"/>
      <c r="CG179" s="152"/>
      <c r="CH179" s="152"/>
      <c r="CI179" s="152"/>
      <c r="CJ179" s="152"/>
      <c r="CK179" s="152"/>
      <c r="CL179" s="152"/>
      <c r="CM179" s="152"/>
      <c r="CN179" s="152"/>
      <c r="CO179" s="152"/>
      <c r="CP179" s="152"/>
      <c r="CQ179" s="152"/>
      <c r="CR179" s="152"/>
      <c r="CS179" s="152"/>
      <c r="CT179" s="152"/>
      <c r="CU179" s="152"/>
      <c r="CV179" s="152"/>
      <c r="CW179" s="152"/>
      <c r="CX179" s="152"/>
      <c r="CY179" s="152"/>
      <c r="CZ179" s="152"/>
      <c r="DA179" s="152"/>
      <c r="DB179" s="152"/>
      <c r="DC179" s="152"/>
      <c r="DD179" s="152"/>
      <c r="DE179" s="152"/>
      <c r="DF179" s="152"/>
      <c r="DG179" s="152"/>
      <c r="DH179" s="152"/>
      <c r="DI179" s="152"/>
      <c r="DJ179" s="152"/>
      <c r="DK179" s="152"/>
      <c r="DL179" s="152"/>
      <c r="DM179" s="152"/>
      <c r="DN179" s="152"/>
      <c r="DO179" s="152"/>
      <c r="DP179" s="152"/>
      <c r="DQ179" s="152"/>
      <c r="DR179" s="152"/>
      <c r="DS179" s="152"/>
      <c r="DT179" s="152"/>
      <c r="DU179" s="152"/>
      <c r="DV179" s="152"/>
      <c r="DW179" s="152"/>
      <c r="DX179" s="152"/>
      <c r="DY179" s="152"/>
      <c r="DZ179" s="152"/>
      <c r="EA179" s="152"/>
      <c r="EB179" s="152"/>
      <c r="EC179" s="152"/>
      <c r="ED179" s="152"/>
      <c r="EE179" s="152"/>
      <c r="EF179" s="152"/>
      <c r="EG179" s="152"/>
      <c r="EH179" s="152"/>
      <c r="EI179" s="152"/>
      <c r="EJ179" s="152"/>
      <c r="EK179" s="152"/>
      <c r="EL179" s="152"/>
      <c r="EM179" s="152"/>
      <c r="EN179" s="152"/>
      <c r="EO179" s="152"/>
      <c r="EP179" s="152"/>
      <c r="EQ179" s="152"/>
      <c r="ER179" s="152"/>
      <c r="ES179" s="152"/>
      <c r="ET179" s="152"/>
      <c r="EU179" s="152"/>
      <c r="EV179" s="152"/>
      <c r="EW179" s="152"/>
      <c r="EX179" s="152"/>
      <c r="EY179" s="152"/>
      <c r="EZ179" s="152"/>
      <c r="FA179" s="152"/>
      <c r="FB179" s="152"/>
      <c r="FC179" s="152"/>
      <c r="FD179" s="152"/>
      <c r="FE179" s="152"/>
      <c r="FF179" s="152"/>
      <c r="FG179" s="152"/>
      <c r="FH179" s="152"/>
      <c r="FI179" s="152"/>
      <c r="FJ179" s="152"/>
      <c r="FK179" s="152"/>
      <c r="FL179" s="152"/>
      <c r="FM179" s="152"/>
      <c r="FN179" s="152"/>
      <c r="FO179" s="152"/>
      <c r="FP179" s="152"/>
      <c r="FQ179" s="152"/>
      <c r="FR179" s="152"/>
      <c r="FS179" s="152"/>
      <c r="FT179" s="152"/>
      <c r="FU179" s="152"/>
      <c r="FV179" s="152"/>
      <c r="FW179" s="152"/>
      <c r="FX179" s="152"/>
    </row>
    <row r="180" spans="1:180" s="150" customFormat="1" ht="35.25" customHeight="1" thickTop="1" thickBot="1" x14ac:dyDescent="0.3">
      <c r="A180" s="307" t="s">
        <v>1158</v>
      </c>
      <c r="B180" s="625" t="s">
        <v>2545</v>
      </c>
      <c r="C180" s="651" t="s">
        <v>105</v>
      </c>
      <c r="D180" s="418">
        <v>2</v>
      </c>
      <c r="E180" s="418">
        <v>30</v>
      </c>
      <c r="F180" s="418">
        <v>3</v>
      </c>
      <c r="G180" s="418">
        <v>530</v>
      </c>
      <c r="H180" s="483">
        <v>79023000</v>
      </c>
      <c r="I180" s="483">
        <v>42500000</v>
      </c>
      <c r="J180" s="416" t="s">
        <v>1094</v>
      </c>
      <c r="K180" s="418" t="s">
        <v>188</v>
      </c>
      <c r="L180" s="417">
        <v>20</v>
      </c>
      <c r="M180" s="417">
        <v>20</v>
      </c>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52"/>
      <c r="DN180" s="152"/>
      <c r="DO180" s="152"/>
      <c r="DP180" s="152"/>
      <c r="DQ180" s="152"/>
      <c r="DR180" s="152"/>
      <c r="DS180" s="152"/>
      <c r="DT180" s="152"/>
      <c r="DU180" s="152"/>
      <c r="DV180" s="152"/>
      <c r="DW180" s="152"/>
      <c r="DX180" s="152"/>
      <c r="DY180" s="152"/>
      <c r="DZ180" s="152"/>
      <c r="EA180" s="152"/>
      <c r="EB180" s="152"/>
      <c r="EC180" s="152"/>
      <c r="ED180" s="152"/>
      <c r="EE180" s="152"/>
      <c r="EF180" s="152"/>
      <c r="EG180" s="152"/>
      <c r="EH180" s="152"/>
      <c r="EI180" s="152"/>
      <c r="EJ180" s="152"/>
      <c r="EK180" s="152"/>
      <c r="EL180" s="152"/>
      <c r="EM180" s="152"/>
      <c r="EN180" s="152"/>
      <c r="EO180" s="152"/>
      <c r="EP180" s="152"/>
      <c r="EQ180" s="152"/>
      <c r="ER180" s="152"/>
      <c r="ES180" s="152"/>
      <c r="ET180" s="152"/>
      <c r="EU180" s="152"/>
      <c r="EV180" s="152"/>
      <c r="EW180" s="152"/>
      <c r="EX180" s="152"/>
      <c r="EY180" s="152"/>
      <c r="EZ180" s="152"/>
      <c r="FA180" s="152"/>
      <c r="FB180" s="152"/>
      <c r="FC180" s="152"/>
      <c r="FD180" s="152"/>
      <c r="FE180" s="152"/>
      <c r="FF180" s="152"/>
      <c r="FG180" s="152"/>
      <c r="FH180" s="152"/>
      <c r="FI180" s="152"/>
      <c r="FJ180" s="152"/>
      <c r="FK180" s="152"/>
      <c r="FL180" s="152"/>
      <c r="FM180" s="152"/>
      <c r="FN180" s="152"/>
      <c r="FO180" s="152"/>
      <c r="FP180" s="152"/>
      <c r="FQ180" s="152"/>
      <c r="FR180" s="152"/>
      <c r="FS180" s="152"/>
      <c r="FT180" s="152"/>
      <c r="FU180" s="152"/>
      <c r="FV180" s="152"/>
      <c r="FW180" s="152"/>
      <c r="FX180" s="152"/>
    </row>
    <row r="181" spans="1:180" s="150" customFormat="1" ht="38.25" customHeight="1" thickTop="1" thickBot="1" x14ac:dyDescent="0.3">
      <c r="A181" s="307" t="s">
        <v>1158</v>
      </c>
      <c r="B181" s="625" t="s">
        <v>2545</v>
      </c>
      <c r="C181" s="652"/>
      <c r="D181" s="418">
        <v>2</v>
      </c>
      <c r="E181" s="418">
        <v>30</v>
      </c>
      <c r="F181" s="418">
        <v>3</v>
      </c>
      <c r="G181" s="418">
        <v>530</v>
      </c>
      <c r="H181" s="483">
        <v>7425000</v>
      </c>
      <c r="I181" s="483">
        <v>7425000</v>
      </c>
      <c r="J181" s="416" t="s">
        <v>1095</v>
      </c>
      <c r="K181" s="418" t="s">
        <v>230</v>
      </c>
      <c r="L181" s="417">
        <v>75</v>
      </c>
      <c r="M181" s="417">
        <v>75</v>
      </c>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52"/>
      <c r="DN181" s="152"/>
      <c r="DO181" s="152"/>
      <c r="DP181" s="152"/>
      <c r="DQ181" s="152"/>
      <c r="DR181" s="152"/>
      <c r="DS181" s="152"/>
      <c r="DT181" s="152"/>
      <c r="DU181" s="152"/>
      <c r="DV181" s="152"/>
      <c r="DW181" s="152"/>
      <c r="DX181" s="152"/>
      <c r="DY181" s="152"/>
      <c r="DZ181" s="152"/>
      <c r="EA181" s="152"/>
      <c r="EB181" s="152"/>
      <c r="EC181" s="152"/>
      <c r="ED181" s="152"/>
      <c r="EE181" s="152"/>
      <c r="EF181" s="152"/>
      <c r="EG181" s="152"/>
      <c r="EH181" s="152"/>
      <c r="EI181" s="152"/>
      <c r="EJ181" s="152"/>
      <c r="EK181" s="152"/>
      <c r="EL181" s="152"/>
      <c r="EM181" s="152"/>
      <c r="EN181" s="152"/>
      <c r="EO181" s="152"/>
      <c r="EP181" s="152"/>
      <c r="EQ181" s="152"/>
      <c r="ER181" s="152"/>
      <c r="ES181" s="152"/>
      <c r="ET181" s="152"/>
      <c r="EU181" s="152"/>
      <c r="EV181" s="152"/>
      <c r="EW181" s="152"/>
      <c r="EX181" s="152"/>
      <c r="EY181" s="152"/>
      <c r="EZ181" s="152"/>
      <c r="FA181" s="152"/>
      <c r="FB181" s="152"/>
      <c r="FC181" s="152"/>
      <c r="FD181" s="152"/>
      <c r="FE181" s="152"/>
      <c r="FF181" s="152"/>
      <c r="FG181" s="152"/>
      <c r="FH181" s="152"/>
      <c r="FI181" s="152"/>
      <c r="FJ181" s="152"/>
      <c r="FK181" s="152"/>
      <c r="FL181" s="152"/>
      <c r="FM181" s="152"/>
      <c r="FN181" s="152"/>
      <c r="FO181" s="152"/>
      <c r="FP181" s="152"/>
      <c r="FQ181" s="152"/>
      <c r="FR181" s="152"/>
      <c r="FS181" s="152"/>
      <c r="FT181" s="152"/>
      <c r="FU181" s="152"/>
      <c r="FV181" s="152"/>
      <c r="FW181" s="152"/>
      <c r="FX181" s="152"/>
    </row>
    <row r="182" spans="1:180" s="150" customFormat="1" ht="38.25" customHeight="1" thickTop="1" thickBot="1" x14ac:dyDescent="0.3">
      <c r="A182" s="307" t="s">
        <v>1158</v>
      </c>
      <c r="B182" s="625" t="s">
        <v>2545</v>
      </c>
      <c r="C182" s="652"/>
      <c r="D182" s="418">
        <v>2</v>
      </c>
      <c r="E182" s="418">
        <v>30</v>
      </c>
      <c r="F182" s="418">
        <v>3</v>
      </c>
      <c r="G182" s="418">
        <v>530</v>
      </c>
      <c r="H182" s="483">
        <v>7500000</v>
      </c>
      <c r="I182" s="483">
        <v>7500000</v>
      </c>
      <c r="J182" s="416" t="s">
        <v>1096</v>
      </c>
      <c r="K182" s="418" t="s">
        <v>1031</v>
      </c>
      <c r="L182" s="417">
        <v>75</v>
      </c>
      <c r="M182" s="417">
        <v>75</v>
      </c>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c r="BI182" s="152"/>
      <c r="BJ182" s="152"/>
      <c r="BK182" s="152"/>
      <c r="BL182" s="152"/>
      <c r="BM182" s="152"/>
      <c r="BN182" s="152"/>
      <c r="BO182" s="152"/>
      <c r="BP182" s="152"/>
      <c r="BQ182" s="152"/>
      <c r="BR182" s="152"/>
      <c r="BS182" s="152"/>
      <c r="BT182" s="152"/>
      <c r="BU182" s="152"/>
      <c r="BV182" s="152"/>
      <c r="BW182" s="152"/>
      <c r="BX182" s="152"/>
      <c r="BY182" s="152"/>
      <c r="BZ182" s="152"/>
      <c r="CA182" s="152"/>
      <c r="CB182" s="152"/>
      <c r="CC182" s="152"/>
      <c r="CD182" s="152"/>
      <c r="CE182" s="152"/>
      <c r="CF182" s="152"/>
      <c r="CG182" s="152"/>
      <c r="CH182" s="152"/>
      <c r="CI182" s="152"/>
      <c r="CJ182" s="152"/>
      <c r="CK182" s="152"/>
      <c r="CL182" s="152"/>
      <c r="CM182" s="152"/>
      <c r="CN182" s="152"/>
      <c r="CO182" s="152"/>
      <c r="CP182" s="152"/>
      <c r="CQ182" s="152"/>
      <c r="CR182" s="152"/>
      <c r="CS182" s="152"/>
      <c r="CT182" s="152"/>
      <c r="CU182" s="152"/>
      <c r="CV182" s="152"/>
      <c r="CW182" s="152"/>
      <c r="CX182" s="152"/>
      <c r="CY182" s="152"/>
      <c r="CZ182" s="152"/>
      <c r="DA182" s="152"/>
      <c r="DB182" s="152"/>
      <c r="DC182" s="152"/>
      <c r="DD182" s="152"/>
      <c r="DE182" s="152"/>
      <c r="DF182" s="152"/>
      <c r="DG182" s="152"/>
      <c r="DH182" s="152"/>
      <c r="DI182" s="152"/>
      <c r="DJ182" s="152"/>
      <c r="DK182" s="152"/>
      <c r="DL182" s="152"/>
      <c r="DM182" s="152"/>
      <c r="DN182" s="152"/>
      <c r="DO182" s="152"/>
      <c r="DP182" s="152"/>
      <c r="DQ182" s="152"/>
      <c r="DR182" s="152"/>
      <c r="DS182" s="152"/>
      <c r="DT182" s="152"/>
      <c r="DU182" s="152"/>
      <c r="DV182" s="152"/>
      <c r="DW182" s="152"/>
      <c r="DX182" s="152"/>
      <c r="DY182" s="152"/>
      <c r="DZ182" s="152"/>
      <c r="EA182" s="152"/>
      <c r="EB182" s="152"/>
      <c r="EC182" s="152"/>
      <c r="ED182" s="152"/>
      <c r="EE182" s="152"/>
      <c r="EF182" s="152"/>
      <c r="EG182" s="152"/>
      <c r="EH182" s="152"/>
      <c r="EI182" s="152"/>
      <c r="EJ182" s="152"/>
      <c r="EK182" s="152"/>
      <c r="EL182" s="152"/>
      <c r="EM182" s="152"/>
      <c r="EN182" s="152"/>
      <c r="EO182" s="152"/>
      <c r="EP182" s="152"/>
      <c r="EQ182" s="152"/>
      <c r="ER182" s="152"/>
      <c r="ES182" s="152"/>
      <c r="ET182" s="152"/>
      <c r="EU182" s="152"/>
      <c r="EV182" s="152"/>
      <c r="EW182" s="152"/>
      <c r="EX182" s="152"/>
      <c r="EY182" s="152"/>
      <c r="EZ182" s="152"/>
      <c r="FA182" s="152"/>
      <c r="FB182" s="152"/>
      <c r="FC182" s="152"/>
      <c r="FD182" s="152"/>
      <c r="FE182" s="152"/>
      <c r="FF182" s="152"/>
      <c r="FG182" s="152"/>
      <c r="FH182" s="152"/>
      <c r="FI182" s="152"/>
      <c r="FJ182" s="152"/>
      <c r="FK182" s="152"/>
      <c r="FL182" s="152"/>
      <c r="FM182" s="152"/>
      <c r="FN182" s="152"/>
      <c r="FO182" s="152"/>
      <c r="FP182" s="152"/>
      <c r="FQ182" s="152"/>
      <c r="FR182" s="152"/>
      <c r="FS182" s="152"/>
      <c r="FT182" s="152"/>
      <c r="FU182" s="152"/>
      <c r="FV182" s="152"/>
      <c r="FW182" s="152"/>
      <c r="FX182" s="152"/>
    </row>
    <row r="183" spans="1:180" s="150" customFormat="1" ht="38.25" customHeight="1" thickTop="1" thickBot="1" x14ac:dyDescent="0.3">
      <c r="A183" s="307" t="s">
        <v>1158</v>
      </c>
      <c r="B183" s="625" t="s">
        <v>2545</v>
      </c>
      <c r="C183" s="652"/>
      <c r="D183" s="418">
        <v>2</v>
      </c>
      <c r="E183" s="418">
        <v>30</v>
      </c>
      <c r="F183" s="418">
        <v>3</v>
      </c>
      <c r="G183" s="418">
        <v>530</v>
      </c>
      <c r="H183" s="483">
        <v>8100000</v>
      </c>
      <c r="I183" s="483">
        <v>8100000</v>
      </c>
      <c r="J183" s="416" t="s">
        <v>1097</v>
      </c>
      <c r="K183" s="418" t="s">
        <v>190</v>
      </c>
      <c r="L183" s="417">
        <v>18</v>
      </c>
      <c r="M183" s="417">
        <v>18</v>
      </c>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c r="BI183" s="152"/>
      <c r="BJ183" s="152"/>
      <c r="BK183" s="152"/>
      <c r="BL183" s="152"/>
      <c r="BM183" s="152"/>
      <c r="BN183" s="152"/>
      <c r="BO183" s="152"/>
      <c r="BP183" s="152"/>
      <c r="BQ183" s="152"/>
      <c r="BR183" s="152"/>
      <c r="BS183" s="152"/>
      <c r="BT183" s="152"/>
      <c r="BU183" s="152"/>
      <c r="BV183" s="152"/>
      <c r="BW183" s="152"/>
      <c r="BX183" s="152"/>
      <c r="BY183" s="152"/>
      <c r="BZ183" s="152"/>
      <c r="CA183" s="152"/>
      <c r="CB183" s="152"/>
      <c r="CC183" s="152"/>
      <c r="CD183" s="152"/>
      <c r="CE183" s="152"/>
      <c r="CF183" s="152"/>
      <c r="CG183" s="152"/>
      <c r="CH183" s="152"/>
      <c r="CI183" s="152"/>
      <c r="CJ183" s="152"/>
      <c r="CK183" s="152"/>
      <c r="CL183" s="152"/>
      <c r="CM183" s="152"/>
      <c r="CN183" s="152"/>
      <c r="CO183" s="152"/>
      <c r="CP183" s="152"/>
      <c r="CQ183" s="152"/>
      <c r="CR183" s="152"/>
      <c r="CS183" s="152"/>
      <c r="CT183" s="152"/>
      <c r="CU183" s="152"/>
      <c r="CV183" s="152"/>
      <c r="CW183" s="152"/>
      <c r="CX183" s="152"/>
      <c r="CY183" s="152"/>
      <c r="CZ183" s="152"/>
      <c r="DA183" s="152"/>
      <c r="DB183" s="152"/>
      <c r="DC183" s="152"/>
      <c r="DD183" s="152"/>
      <c r="DE183" s="152"/>
      <c r="DF183" s="152"/>
      <c r="DG183" s="152"/>
      <c r="DH183" s="152"/>
      <c r="DI183" s="152"/>
      <c r="DJ183" s="152"/>
      <c r="DK183" s="152"/>
      <c r="DL183" s="152"/>
      <c r="DM183" s="152"/>
      <c r="DN183" s="152"/>
      <c r="DO183" s="152"/>
      <c r="DP183" s="152"/>
      <c r="DQ183" s="152"/>
      <c r="DR183" s="152"/>
      <c r="DS183" s="152"/>
      <c r="DT183" s="152"/>
      <c r="DU183" s="152"/>
      <c r="DV183" s="152"/>
      <c r="DW183" s="152"/>
      <c r="DX183" s="152"/>
      <c r="DY183" s="152"/>
      <c r="DZ183" s="152"/>
      <c r="EA183" s="152"/>
      <c r="EB183" s="152"/>
      <c r="EC183" s="152"/>
      <c r="ED183" s="152"/>
      <c r="EE183" s="152"/>
      <c r="EF183" s="152"/>
      <c r="EG183" s="152"/>
      <c r="EH183" s="152"/>
      <c r="EI183" s="152"/>
      <c r="EJ183" s="152"/>
      <c r="EK183" s="152"/>
      <c r="EL183" s="152"/>
      <c r="EM183" s="152"/>
      <c r="EN183" s="152"/>
      <c r="EO183" s="152"/>
      <c r="EP183" s="152"/>
      <c r="EQ183" s="152"/>
      <c r="ER183" s="152"/>
      <c r="ES183" s="152"/>
      <c r="ET183" s="152"/>
      <c r="EU183" s="152"/>
      <c r="EV183" s="152"/>
      <c r="EW183" s="152"/>
      <c r="EX183" s="152"/>
      <c r="EY183" s="152"/>
      <c r="EZ183" s="152"/>
      <c r="FA183" s="152"/>
      <c r="FB183" s="152"/>
      <c r="FC183" s="152"/>
      <c r="FD183" s="152"/>
      <c r="FE183" s="152"/>
      <c r="FF183" s="152"/>
      <c r="FG183" s="152"/>
      <c r="FH183" s="152"/>
      <c r="FI183" s="152"/>
      <c r="FJ183" s="152"/>
      <c r="FK183" s="152"/>
      <c r="FL183" s="152"/>
      <c r="FM183" s="152"/>
      <c r="FN183" s="152"/>
      <c r="FO183" s="152"/>
      <c r="FP183" s="152"/>
      <c r="FQ183" s="152"/>
      <c r="FR183" s="152"/>
      <c r="FS183" s="152"/>
      <c r="FT183" s="152"/>
      <c r="FU183" s="152"/>
      <c r="FV183" s="152"/>
      <c r="FW183" s="152"/>
      <c r="FX183" s="152"/>
    </row>
    <row r="184" spans="1:180" s="150" customFormat="1" ht="38.25" customHeight="1" thickTop="1" thickBot="1" x14ac:dyDescent="0.3">
      <c r="A184" s="307" t="s">
        <v>1158</v>
      </c>
      <c r="B184" s="625" t="s">
        <v>2545</v>
      </c>
      <c r="C184" s="652"/>
      <c r="D184" s="418">
        <v>2</v>
      </c>
      <c r="E184" s="418">
        <v>30</v>
      </c>
      <c r="F184" s="418">
        <v>3</v>
      </c>
      <c r="G184" s="418">
        <v>530</v>
      </c>
      <c r="H184" s="483">
        <v>1782000</v>
      </c>
      <c r="I184" s="483">
        <v>1782000</v>
      </c>
      <c r="J184" s="416" t="s">
        <v>1098</v>
      </c>
      <c r="K184" s="418" t="s">
        <v>230</v>
      </c>
      <c r="L184" s="417">
        <v>18</v>
      </c>
      <c r="M184" s="417">
        <v>18</v>
      </c>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c r="BI184" s="152"/>
      <c r="BJ184" s="152"/>
      <c r="BK184" s="152"/>
      <c r="BL184" s="152"/>
      <c r="BM184" s="152"/>
      <c r="BN184" s="152"/>
      <c r="BO184" s="152"/>
      <c r="BP184" s="152"/>
      <c r="BQ184" s="152"/>
      <c r="BR184" s="152"/>
      <c r="BS184" s="152"/>
      <c r="BT184" s="152"/>
      <c r="BU184" s="152"/>
      <c r="BV184" s="152"/>
      <c r="BW184" s="152"/>
      <c r="BX184" s="152"/>
      <c r="BY184" s="152"/>
      <c r="BZ184" s="152"/>
      <c r="CA184" s="152"/>
      <c r="CB184" s="152"/>
      <c r="CC184" s="152"/>
      <c r="CD184" s="152"/>
      <c r="CE184" s="152"/>
      <c r="CF184" s="152"/>
      <c r="CG184" s="152"/>
      <c r="CH184" s="152"/>
      <c r="CI184" s="152"/>
      <c r="CJ184" s="152"/>
      <c r="CK184" s="152"/>
      <c r="CL184" s="152"/>
      <c r="CM184" s="152"/>
      <c r="CN184" s="152"/>
      <c r="CO184" s="152"/>
      <c r="CP184" s="152"/>
      <c r="CQ184" s="152"/>
      <c r="CR184" s="152"/>
      <c r="CS184" s="152"/>
      <c r="CT184" s="152"/>
      <c r="CU184" s="152"/>
      <c r="CV184" s="152"/>
      <c r="CW184" s="152"/>
      <c r="CX184" s="152"/>
      <c r="CY184" s="152"/>
      <c r="CZ184" s="152"/>
      <c r="DA184" s="152"/>
      <c r="DB184" s="152"/>
      <c r="DC184" s="152"/>
      <c r="DD184" s="152"/>
      <c r="DE184" s="152"/>
      <c r="DF184" s="152"/>
      <c r="DG184" s="152"/>
      <c r="DH184" s="152"/>
      <c r="DI184" s="152"/>
      <c r="DJ184" s="152"/>
      <c r="DK184" s="152"/>
      <c r="DL184" s="152"/>
      <c r="DM184" s="152"/>
      <c r="DN184" s="152"/>
      <c r="DO184" s="152"/>
      <c r="DP184" s="152"/>
      <c r="DQ184" s="152"/>
      <c r="DR184" s="152"/>
      <c r="DS184" s="152"/>
      <c r="DT184" s="152"/>
      <c r="DU184" s="152"/>
      <c r="DV184" s="152"/>
      <c r="DW184" s="152"/>
      <c r="DX184" s="152"/>
      <c r="DY184" s="152"/>
      <c r="DZ184" s="152"/>
      <c r="EA184" s="152"/>
      <c r="EB184" s="152"/>
      <c r="EC184" s="152"/>
      <c r="ED184" s="152"/>
      <c r="EE184" s="152"/>
      <c r="EF184" s="152"/>
      <c r="EG184" s="152"/>
      <c r="EH184" s="152"/>
      <c r="EI184" s="152"/>
      <c r="EJ184" s="152"/>
      <c r="EK184" s="152"/>
      <c r="EL184" s="152"/>
      <c r="EM184" s="152"/>
      <c r="EN184" s="152"/>
      <c r="EO184" s="152"/>
      <c r="EP184" s="152"/>
      <c r="EQ184" s="152"/>
      <c r="ER184" s="152"/>
      <c r="ES184" s="152"/>
      <c r="ET184" s="152"/>
      <c r="EU184" s="152"/>
      <c r="EV184" s="152"/>
      <c r="EW184" s="152"/>
      <c r="EX184" s="152"/>
      <c r="EY184" s="152"/>
      <c r="EZ184" s="152"/>
      <c r="FA184" s="152"/>
      <c r="FB184" s="152"/>
      <c r="FC184" s="152"/>
      <c r="FD184" s="152"/>
      <c r="FE184" s="152"/>
      <c r="FF184" s="152"/>
      <c r="FG184" s="152"/>
      <c r="FH184" s="152"/>
      <c r="FI184" s="152"/>
      <c r="FJ184" s="152"/>
      <c r="FK184" s="152"/>
      <c r="FL184" s="152"/>
      <c r="FM184" s="152"/>
      <c r="FN184" s="152"/>
      <c r="FO184" s="152"/>
      <c r="FP184" s="152"/>
      <c r="FQ184" s="152"/>
      <c r="FR184" s="152"/>
      <c r="FS184" s="152"/>
      <c r="FT184" s="152"/>
      <c r="FU184" s="152"/>
      <c r="FV184" s="152"/>
      <c r="FW184" s="152"/>
      <c r="FX184" s="152"/>
    </row>
    <row r="185" spans="1:180" s="150" customFormat="1" ht="38.25" customHeight="1" thickTop="1" thickBot="1" x14ac:dyDescent="0.3">
      <c r="A185" s="307" t="s">
        <v>1158</v>
      </c>
      <c r="B185" s="625" t="s">
        <v>2545</v>
      </c>
      <c r="C185" s="653"/>
      <c r="D185" s="418">
        <v>2</v>
      </c>
      <c r="E185" s="418">
        <v>30</v>
      </c>
      <c r="F185" s="418">
        <v>3</v>
      </c>
      <c r="G185" s="418">
        <v>530</v>
      </c>
      <c r="H185" s="483">
        <v>16170000</v>
      </c>
      <c r="I185" s="483">
        <v>16170000</v>
      </c>
      <c r="J185" s="416" t="s">
        <v>1099</v>
      </c>
      <c r="K185" s="418" t="s">
        <v>66</v>
      </c>
      <c r="L185" s="417">
        <v>33</v>
      </c>
      <c r="M185" s="417">
        <v>33</v>
      </c>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52"/>
      <c r="BV185" s="152"/>
      <c r="BW185" s="152"/>
      <c r="BX185" s="152"/>
      <c r="BY185" s="152"/>
      <c r="BZ185" s="152"/>
      <c r="CA185" s="152"/>
      <c r="CB185" s="152"/>
      <c r="CC185" s="152"/>
      <c r="CD185" s="152"/>
      <c r="CE185" s="152"/>
      <c r="CF185" s="152"/>
      <c r="CG185" s="152"/>
      <c r="CH185" s="152"/>
      <c r="CI185" s="152"/>
      <c r="CJ185" s="152"/>
      <c r="CK185" s="152"/>
      <c r="CL185" s="152"/>
      <c r="CM185" s="152"/>
      <c r="CN185" s="152"/>
      <c r="CO185" s="152"/>
      <c r="CP185" s="152"/>
      <c r="CQ185" s="152"/>
      <c r="CR185" s="152"/>
      <c r="CS185" s="152"/>
      <c r="CT185" s="152"/>
      <c r="CU185" s="152"/>
      <c r="CV185" s="152"/>
      <c r="CW185" s="152"/>
      <c r="CX185" s="152"/>
      <c r="CY185" s="152"/>
      <c r="CZ185" s="152"/>
      <c r="DA185" s="152"/>
      <c r="DB185" s="152"/>
      <c r="DC185" s="152"/>
      <c r="DD185" s="152"/>
      <c r="DE185" s="152"/>
      <c r="DF185" s="152"/>
      <c r="DG185" s="152"/>
      <c r="DH185" s="152"/>
      <c r="DI185" s="152"/>
      <c r="DJ185" s="152"/>
      <c r="DK185" s="152"/>
      <c r="DL185" s="152"/>
      <c r="DM185" s="152"/>
      <c r="DN185" s="152"/>
      <c r="DO185" s="152"/>
      <c r="DP185" s="152"/>
      <c r="DQ185" s="152"/>
      <c r="DR185" s="152"/>
      <c r="DS185" s="152"/>
      <c r="DT185" s="152"/>
      <c r="DU185" s="152"/>
      <c r="DV185" s="152"/>
      <c r="DW185" s="152"/>
      <c r="DX185" s="152"/>
      <c r="DY185" s="152"/>
      <c r="DZ185" s="152"/>
      <c r="EA185" s="152"/>
      <c r="EB185" s="152"/>
      <c r="EC185" s="152"/>
      <c r="ED185" s="152"/>
      <c r="EE185" s="152"/>
      <c r="EF185" s="152"/>
      <c r="EG185" s="152"/>
      <c r="EH185" s="152"/>
      <c r="EI185" s="152"/>
      <c r="EJ185" s="152"/>
      <c r="EK185" s="152"/>
      <c r="EL185" s="152"/>
      <c r="EM185" s="152"/>
      <c r="EN185" s="152"/>
      <c r="EO185" s="152"/>
      <c r="EP185" s="152"/>
      <c r="EQ185" s="152"/>
      <c r="ER185" s="152"/>
      <c r="ES185" s="152"/>
      <c r="ET185" s="152"/>
      <c r="EU185" s="152"/>
      <c r="EV185" s="152"/>
      <c r="EW185" s="152"/>
      <c r="EX185" s="152"/>
      <c r="EY185" s="152"/>
      <c r="EZ185" s="152"/>
      <c r="FA185" s="152"/>
      <c r="FB185" s="152"/>
      <c r="FC185" s="152"/>
      <c r="FD185" s="152"/>
      <c r="FE185" s="152"/>
      <c r="FF185" s="152"/>
      <c r="FG185" s="152"/>
      <c r="FH185" s="152"/>
      <c r="FI185" s="152"/>
      <c r="FJ185" s="152"/>
      <c r="FK185" s="152"/>
      <c r="FL185" s="152"/>
      <c r="FM185" s="152"/>
      <c r="FN185" s="152"/>
      <c r="FO185" s="152"/>
      <c r="FP185" s="152"/>
      <c r="FQ185" s="152"/>
      <c r="FR185" s="152"/>
      <c r="FS185" s="152"/>
      <c r="FT185" s="152"/>
      <c r="FU185" s="152"/>
      <c r="FV185" s="152"/>
      <c r="FW185" s="152"/>
      <c r="FX185" s="152"/>
    </row>
    <row r="186" spans="1:180" s="150" customFormat="1" ht="51" customHeight="1" thickTop="1" thickBot="1" x14ac:dyDescent="0.3">
      <c r="A186" s="307" t="s">
        <v>1158</v>
      </c>
      <c r="B186" s="625" t="s">
        <v>2545</v>
      </c>
      <c r="C186" s="413" t="s">
        <v>53</v>
      </c>
      <c r="D186" s="418">
        <v>2</v>
      </c>
      <c r="E186" s="418">
        <v>30</v>
      </c>
      <c r="F186" s="418">
        <v>3</v>
      </c>
      <c r="G186" s="418">
        <v>980</v>
      </c>
      <c r="H186" s="483">
        <v>23182109</v>
      </c>
      <c r="I186" s="483">
        <v>4482109</v>
      </c>
      <c r="J186" s="416" t="s">
        <v>1100</v>
      </c>
      <c r="K186" s="418" t="s">
        <v>16</v>
      </c>
      <c r="L186" s="417">
        <v>3</v>
      </c>
      <c r="M186" s="417">
        <v>2</v>
      </c>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c r="BV186" s="152"/>
      <c r="BW186" s="152"/>
      <c r="BX186" s="152"/>
      <c r="BY186" s="152"/>
      <c r="BZ186" s="152"/>
      <c r="CA186" s="152"/>
      <c r="CB186" s="152"/>
      <c r="CC186" s="152"/>
      <c r="CD186" s="152"/>
      <c r="CE186" s="152"/>
      <c r="CF186" s="152"/>
      <c r="CG186" s="152"/>
      <c r="CH186" s="152"/>
      <c r="CI186" s="152"/>
      <c r="CJ186" s="152"/>
      <c r="CK186" s="152"/>
      <c r="CL186" s="152"/>
      <c r="CM186" s="152"/>
      <c r="CN186" s="152"/>
      <c r="CO186" s="152"/>
      <c r="CP186" s="152"/>
      <c r="CQ186" s="152"/>
      <c r="CR186" s="152"/>
      <c r="CS186" s="152"/>
      <c r="CT186" s="152"/>
      <c r="CU186" s="152"/>
      <c r="CV186" s="152"/>
      <c r="CW186" s="152"/>
      <c r="CX186" s="152"/>
      <c r="CY186" s="152"/>
      <c r="CZ186" s="152"/>
      <c r="DA186" s="152"/>
      <c r="DB186" s="152"/>
      <c r="DC186" s="152"/>
      <c r="DD186" s="152"/>
      <c r="DE186" s="152"/>
      <c r="DF186" s="152"/>
      <c r="DG186" s="152"/>
      <c r="DH186" s="152"/>
      <c r="DI186" s="152"/>
      <c r="DJ186" s="152"/>
      <c r="DK186" s="152"/>
      <c r="DL186" s="152"/>
      <c r="DM186" s="152"/>
      <c r="DN186" s="152"/>
      <c r="DO186" s="152"/>
      <c r="DP186" s="152"/>
      <c r="DQ186" s="152"/>
      <c r="DR186" s="152"/>
      <c r="DS186" s="152"/>
      <c r="DT186" s="152"/>
      <c r="DU186" s="152"/>
      <c r="DV186" s="152"/>
      <c r="DW186" s="152"/>
      <c r="DX186" s="152"/>
      <c r="DY186" s="152"/>
      <c r="DZ186" s="152"/>
      <c r="EA186" s="152"/>
      <c r="EB186" s="152"/>
      <c r="EC186" s="152"/>
      <c r="ED186" s="152"/>
      <c r="EE186" s="152"/>
      <c r="EF186" s="152"/>
      <c r="EG186" s="152"/>
      <c r="EH186" s="152"/>
      <c r="EI186" s="152"/>
      <c r="EJ186" s="152"/>
      <c r="EK186" s="152"/>
      <c r="EL186" s="152"/>
      <c r="EM186" s="152"/>
      <c r="EN186" s="152"/>
      <c r="EO186" s="152"/>
      <c r="EP186" s="152"/>
      <c r="EQ186" s="152"/>
      <c r="ER186" s="152"/>
      <c r="ES186" s="152"/>
      <c r="ET186" s="152"/>
      <c r="EU186" s="152"/>
      <c r="EV186" s="152"/>
      <c r="EW186" s="152"/>
      <c r="EX186" s="152"/>
      <c r="EY186" s="152"/>
      <c r="EZ186" s="152"/>
      <c r="FA186" s="152"/>
      <c r="FB186" s="152"/>
      <c r="FC186" s="152"/>
      <c r="FD186" s="152"/>
      <c r="FE186" s="152"/>
      <c r="FF186" s="152"/>
      <c r="FG186" s="152"/>
      <c r="FH186" s="152"/>
      <c r="FI186" s="152"/>
      <c r="FJ186" s="152"/>
      <c r="FK186" s="152"/>
      <c r="FL186" s="152"/>
      <c r="FM186" s="152"/>
      <c r="FN186" s="152"/>
      <c r="FO186" s="152"/>
      <c r="FP186" s="152"/>
      <c r="FQ186" s="152"/>
      <c r="FR186" s="152"/>
      <c r="FS186" s="152"/>
      <c r="FT186" s="152"/>
      <c r="FU186" s="152"/>
      <c r="FV186" s="152"/>
      <c r="FW186" s="152"/>
      <c r="FX186" s="152"/>
    </row>
    <row r="187" spans="1:180" s="168" customFormat="1" ht="18.75" customHeight="1" thickTop="1" thickBot="1" x14ac:dyDescent="0.3">
      <c r="A187" s="171"/>
      <c r="B187" s="475"/>
      <c r="C187" s="184"/>
      <c r="D187" s="165"/>
      <c r="E187" s="165"/>
      <c r="F187" s="165"/>
      <c r="G187" s="165"/>
      <c r="H187" s="172"/>
      <c r="I187" s="172"/>
      <c r="J187" s="165"/>
      <c r="K187" s="165"/>
      <c r="L187" s="172"/>
      <c r="M187" s="17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c r="BI187" s="152"/>
      <c r="BJ187" s="152"/>
      <c r="BK187" s="152"/>
      <c r="BL187" s="152"/>
      <c r="BM187" s="152"/>
      <c r="BN187" s="152"/>
      <c r="BO187" s="152"/>
      <c r="BP187" s="152"/>
      <c r="BQ187" s="152"/>
      <c r="BR187" s="152"/>
      <c r="BS187" s="152"/>
      <c r="BT187" s="152"/>
      <c r="BU187" s="152"/>
      <c r="BV187" s="152"/>
      <c r="BW187" s="152"/>
      <c r="BX187" s="152"/>
      <c r="BY187" s="152"/>
      <c r="BZ187" s="152"/>
      <c r="CA187" s="152"/>
      <c r="CB187" s="152"/>
      <c r="CC187" s="152"/>
      <c r="CD187" s="152"/>
      <c r="CE187" s="152"/>
      <c r="CF187" s="152"/>
      <c r="CG187" s="152"/>
      <c r="CH187" s="152"/>
      <c r="CI187" s="152"/>
      <c r="CJ187" s="152"/>
      <c r="CK187" s="152"/>
      <c r="CL187" s="152"/>
      <c r="CM187" s="152"/>
      <c r="CN187" s="152"/>
      <c r="CO187" s="152"/>
      <c r="CP187" s="152"/>
      <c r="CQ187" s="152"/>
      <c r="CR187" s="152"/>
      <c r="CS187" s="152"/>
      <c r="CT187" s="152"/>
      <c r="CU187" s="152"/>
      <c r="CV187" s="152"/>
      <c r="CW187" s="152"/>
      <c r="CX187" s="152"/>
      <c r="CY187" s="152"/>
      <c r="CZ187" s="152"/>
      <c r="DA187" s="152"/>
      <c r="DB187" s="152"/>
      <c r="DC187" s="152"/>
      <c r="DD187" s="152"/>
      <c r="DE187" s="152"/>
      <c r="DF187" s="152"/>
      <c r="DG187" s="152"/>
      <c r="DH187" s="152"/>
      <c r="DI187" s="152"/>
      <c r="DJ187" s="152"/>
      <c r="DK187" s="152"/>
      <c r="DL187" s="152"/>
      <c r="DM187" s="152"/>
      <c r="DN187" s="152"/>
      <c r="DO187" s="152"/>
      <c r="DP187" s="152"/>
      <c r="DQ187" s="152"/>
      <c r="DR187" s="152"/>
      <c r="DS187" s="152"/>
      <c r="DT187" s="152"/>
      <c r="DU187" s="152"/>
      <c r="DV187" s="152"/>
      <c r="DW187" s="152"/>
      <c r="DX187" s="152"/>
      <c r="DY187" s="152"/>
      <c r="DZ187" s="152"/>
      <c r="EA187" s="152"/>
      <c r="EB187" s="152"/>
      <c r="EC187" s="152"/>
      <c r="ED187" s="152"/>
      <c r="EE187" s="152"/>
      <c r="EF187" s="152"/>
      <c r="EG187" s="152"/>
      <c r="EH187" s="152"/>
      <c r="EI187" s="152"/>
      <c r="EJ187" s="152"/>
      <c r="EK187" s="152"/>
      <c r="EL187" s="152"/>
      <c r="EM187" s="152"/>
      <c r="EN187" s="152"/>
      <c r="EO187" s="152"/>
      <c r="EP187" s="152"/>
      <c r="EQ187" s="152"/>
      <c r="ER187" s="152"/>
      <c r="ES187" s="152"/>
      <c r="ET187" s="152"/>
      <c r="EU187" s="152"/>
      <c r="EV187" s="152"/>
      <c r="EW187" s="152"/>
      <c r="EX187" s="152"/>
      <c r="EY187" s="152"/>
      <c r="EZ187" s="152"/>
      <c r="FA187" s="152"/>
      <c r="FB187" s="152"/>
      <c r="FC187" s="152"/>
      <c r="FD187" s="152"/>
      <c r="FE187" s="152"/>
      <c r="FF187" s="152"/>
      <c r="FG187" s="152"/>
      <c r="FH187" s="152"/>
      <c r="FI187" s="152"/>
      <c r="FJ187" s="152"/>
      <c r="FK187" s="152"/>
      <c r="FL187" s="152"/>
      <c r="FM187" s="152"/>
      <c r="FN187" s="152"/>
      <c r="FO187" s="152"/>
      <c r="FP187" s="152"/>
      <c r="FQ187" s="152"/>
      <c r="FR187" s="152"/>
      <c r="FS187" s="152"/>
      <c r="FT187" s="152"/>
      <c r="FU187" s="152"/>
      <c r="FV187" s="152"/>
      <c r="FW187" s="152"/>
      <c r="FX187" s="152"/>
    </row>
    <row r="188" spans="1:180" s="168" customFormat="1" ht="30" customHeight="1" thickTop="1" thickBot="1" x14ac:dyDescent="0.3">
      <c r="A188" s="639" t="s">
        <v>0</v>
      </c>
      <c r="B188" s="639" t="s">
        <v>1</v>
      </c>
      <c r="C188" s="639" t="s">
        <v>2569</v>
      </c>
      <c r="D188" s="636" t="s">
        <v>1961</v>
      </c>
      <c r="E188" s="637"/>
      <c r="F188" s="637"/>
      <c r="G188" s="638"/>
      <c r="H188" s="636" t="s">
        <v>3</v>
      </c>
      <c r="I188" s="637"/>
      <c r="J188" s="636" t="s">
        <v>1962</v>
      </c>
      <c r="K188" s="637"/>
      <c r="L188" s="637"/>
      <c r="M188" s="638"/>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row>
    <row r="189" spans="1:180" s="152" customFormat="1" ht="35.25" customHeight="1" thickTop="1" thickBot="1" x14ac:dyDescent="0.3">
      <c r="A189" s="661"/>
      <c r="B189" s="661"/>
      <c r="C189" s="661"/>
      <c r="D189" s="406" t="s">
        <v>4</v>
      </c>
      <c r="E189" s="406" t="s">
        <v>5</v>
      </c>
      <c r="F189" s="406" t="s">
        <v>6</v>
      </c>
      <c r="G189" s="406" t="s">
        <v>7</v>
      </c>
      <c r="H189" s="406" t="s">
        <v>2</v>
      </c>
      <c r="I189" s="406" t="s">
        <v>3</v>
      </c>
      <c r="J189" s="406" t="s">
        <v>8</v>
      </c>
      <c r="K189" s="406" t="s">
        <v>9</v>
      </c>
      <c r="L189" s="406" t="s">
        <v>1963</v>
      </c>
      <c r="M189" s="406" t="s">
        <v>1964</v>
      </c>
    </row>
    <row r="190" spans="1:180" s="150" customFormat="1" ht="53.25" customHeight="1" thickTop="1" thickBot="1" x14ac:dyDescent="0.3">
      <c r="A190" s="413" t="s">
        <v>1159</v>
      </c>
      <c r="B190" s="625" t="s">
        <v>2545</v>
      </c>
      <c r="C190" s="413" t="s">
        <v>18</v>
      </c>
      <c r="D190" s="418">
        <v>2</v>
      </c>
      <c r="E190" s="418">
        <v>30</v>
      </c>
      <c r="F190" s="418">
        <v>3</v>
      </c>
      <c r="G190" s="418">
        <v>848</v>
      </c>
      <c r="H190" s="483">
        <v>319578093</v>
      </c>
      <c r="I190" s="483">
        <v>154448000</v>
      </c>
      <c r="J190" s="416" t="s">
        <v>1101</v>
      </c>
      <c r="K190" s="418" t="s">
        <v>20</v>
      </c>
      <c r="L190" s="297">
        <v>2500</v>
      </c>
      <c r="M190" s="297">
        <v>1200</v>
      </c>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c r="BY190" s="152"/>
      <c r="BZ190" s="152"/>
      <c r="CA190" s="152"/>
      <c r="CB190" s="152"/>
      <c r="CC190" s="152"/>
      <c r="CD190" s="152"/>
      <c r="CE190" s="152"/>
      <c r="CF190" s="152"/>
      <c r="CG190" s="152"/>
      <c r="CH190" s="152"/>
      <c r="CI190" s="152"/>
      <c r="CJ190" s="152"/>
      <c r="CK190" s="152"/>
      <c r="CL190" s="152"/>
      <c r="CM190" s="152"/>
      <c r="CN190" s="152"/>
      <c r="CO190" s="152"/>
      <c r="CP190" s="152"/>
      <c r="CQ190" s="152"/>
      <c r="CR190" s="152"/>
      <c r="CS190" s="152"/>
      <c r="CT190" s="152"/>
      <c r="CU190" s="152"/>
      <c r="CV190" s="152"/>
      <c r="CW190" s="152"/>
      <c r="CX190" s="152"/>
      <c r="CY190" s="152"/>
      <c r="CZ190" s="152"/>
      <c r="DA190" s="152"/>
      <c r="DB190" s="152"/>
      <c r="DC190" s="152"/>
      <c r="DD190" s="152"/>
      <c r="DE190" s="152"/>
      <c r="DF190" s="152"/>
      <c r="DG190" s="152"/>
      <c r="DH190" s="152"/>
      <c r="DI190" s="152"/>
      <c r="DJ190" s="152"/>
      <c r="DK190" s="152"/>
      <c r="DL190" s="152"/>
      <c r="DM190" s="152"/>
      <c r="DN190" s="152"/>
      <c r="DO190" s="152"/>
      <c r="DP190" s="152"/>
      <c r="DQ190" s="152"/>
      <c r="DR190" s="152"/>
      <c r="DS190" s="152"/>
      <c r="DT190" s="152"/>
      <c r="DU190" s="152"/>
      <c r="DV190" s="152"/>
      <c r="DW190" s="152"/>
      <c r="DX190" s="152"/>
      <c r="DY190" s="152"/>
      <c r="DZ190" s="152"/>
      <c r="EA190" s="152"/>
      <c r="EB190" s="152"/>
      <c r="EC190" s="152"/>
      <c r="ED190" s="152"/>
      <c r="EE190" s="152"/>
      <c r="EF190" s="152"/>
      <c r="EG190" s="152"/>
      <c r="EH190" s="152"/>
      <c r="EI190" s="152"/>
      <c r="EJ190" s="152"/>
      <c r="EK190" s="152"/>
      <c r="EL190" s="152"/>
      <c r="EM190" s="152"/>
      <c r="EN190" s="152"/>
      <c r="EO190" s="152"/>
      <c r="EP190" s="152"/>
      <c r="EQ190" s="152"/>
      <c r="ER190" s="152"/>
      <c r="ES190" s="152"/>
      <c r="ET190" s="152"/>
      <c r="EU190" s="152"/>
      <c r="EV190" s="152"/>
      <c r="EW190" s="152"/>
      <c r="EX190" s="152"/>
      <c r="EY190" s="152"/>
      <c r="EZ190" s="152"/>
      <c r="FA190" s="152"/>
      <c r="FB190" s="152"/>
      <c r="FC190" s="152"/>
      <c r="FD190" s="152"/>
      <c r="FE190" s="152"/>
      <c r="FF190" s="152"/>
      <c r="FG190" s="152"/>
      <c r="FH190" s="152"/>
      <c r="FI190" s="152"/>
      <c r="FJ190" s="152"/>
      <c r="FK190" s="152"/>
      <c r="FL190" s="152"/>
      <c r="FM190" s="152"/>
      <c r="FN190" s="152"/>
      <c r="FO190" s="152"/>
      <c r="FP190" s="152"/>
      <c r="FQ190" s="152"/>
      <c r="FR190" s="152"/>
      <c r="FS190" s="152"/>
      <c r="FT190" s="152"/>
      <c r="FU190" s="152"/>
      <c r="FV190" s="152"/>
      <c r="FW190" s="152"/>
      <c r="FX190" s="152"/>
    </row>
    <row r="191" spans="1:180" s="150" customFormat="1" ht="49.5" customHeight="1" thickTop="1" thickBot="1" x14ac:dyDescent="0.3">
      <c r="A191" s="413" t="s">
        <v>1159</v>
      </c>
      <c r="B191" s="625" t="s">
        <v>2545</v>
      </c>
      <c r="C191" s="413" t="s">
        <v>53</v>
      </c>
      <c r="D191" s="418">
        <v>2</v>
      </c>
      <c r="E191" s="418">
        <v>30</v>
      </c>
      <c r="F191" s="418">
        <v>3</v>
      </c>
      <c r="G191" s="418">
        <v>520</v>
      </c>
      <c r="H191" s="483">
        <v>745682216</v>
      </c>
      <c r="I191" s="483">
        <v>316104510</v>
      </c>
      <c r="J191" s="416" t="s">
        <v>1102</v>
      </c>
      <c r="K191" s="418" t="s">
        <v>55</v>
      </c>
      <c r="L191" s="297">
        <v>8</v>
      </c>
      <c r="M191" s="297">
        <v>4</v>
      </c>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c r="BY191" s="152"/>
      <c r="BZ191" s="152"/>
      <c r="CA191" s="152"/>
      <c r="CB191" s="152"/>
      <c r="CC191" s="152"/>
      <c r="CD191" s="152"/>
      <c r="CE191" s="152"/>
      <c r="CF191" s="152"/>
      <c r="CG191" s="152"/>
      <c r="CH191" s="152"/>
      <c r="CI191" s="152"/>
      <c r="CJ191" s="152"/>
      <c r="CK191" s="152"/>
      <c r="CL191" s="152"/>
      <c r="CM191" s="152"/>
      <c r="CN191" s="152"/>
      <c r="CO191" s="152"/>
      <c r="CP191" s="152"/>
      <c r="CQ191" s="152"/>
      <c r="CR191" s="152"/>
      <c r="CS191" s="152"/>
      <c r="CT191" s="152"/>
      <c r="CU191" s="152"/>
      <c r="CV191" s="152"/>
      <c r="CW191" s="152"/>
      <c r="CX191" s="152"/>
      <c r="CY191" s="152"/>
      <c r="CZ191" s="152"/>
      <c r="DA191" s="152"/>
      <c r="DB191" s="152"/>
      <c r="DC191" s="152"/>
      <c r="DD191" s="152"/>
      <c r="DE191" s="152"/>
      <c r="DF191" s="152"/>
      <c r="DG191" s="152"/>
      <c r="DH191" s="152"/>
      <c r="DI191" s="152"/>
      <c r="DJ191" s="152"/>
      <c r="DK191" s="152"/>
      <c r="DL191" s="152"/>
      <c r="DM191" s="152"/>
      <c r="DN191" s="152"/>
      <c r="DO191" s="152"/>
      <c r="DP191" s="152"/>
      <c r="DQ191" s="152"/>
      <c r="DR191" s="152"/>
      <c r="DS191" s="152"/>
      <c r="DT191" s="152"/>
      <c r="DU191" s="152"/>
      <c r="DV191" s="152"/>
      <c r="DW191" s="152"/>
      <c r="DX191" s="152"/>
      <c r="DY191" s="152"/>
      <c r="DZ191" s="152"/>
      <c r="EA191" s="152"/>
      <c r="EB191" s="152"/>
      <c r="EC191" s="152"/>
      <c r="ED191" s="152"/>
      <c r="EE191" s="152"/>
      <c r="EF191" s="152"/>
      <c r="EG191" s="152"/>
      <c r="EH191" s="152"/>
      <c r="EI191" s="152"/>
      <c r="EJ191" s="152"/>
      <c r="EK191" s="152"/>
      <c r="EL191" s="152"/>
      <c r="EM191" s="152"/>
      <c r="EN191" s="152"/>
      <c r="EO191" s="152"/>
      <c r="EP191" s="152"/>
      <c r="EQ191" s="152"/>
      <c r="ER191" s="152"/>
      <c r="ES191" s="152"/>
      <c r="ET191" s="152"/>
      <c r="EU191" s="152"/>
      <c r="EV191" s="152"/>
      <c r="EW191" s="152"/>
      <c r="EX191" s="152"/>
      <c r="EY191" s="152"/>
      <c r="EZ191" s="152"/>
      <c r="FA191" s="152"/>
      <c r="FB191" s="152"/>
      <c r="FC191" s="152"/>
      <c r="FD191" s="152"/>
      <c r="FE191" s="152"/>
      <c r="FF191" s="152"/>
      <c r="FG191" s="152"/>
      <c r="FH191" s="152"/>
      <c r="FI191" s="152"/>
      <c r="FJ191" s="152"/>
      <c r="FK191" s="152"/>
      <c r="FL191" s="152"/>
      <c r="FM191" s="152"/>
      <c r="FN191" s="152"/>
      <c r="FO191" s="152"/>
      <c r="FP191" s="152"/>
      <c r="FQ191" s="152"/>
      <c r="FR191" s="152"/>
      <c r="FS191" s="152"/>
      <c r="FT191" s="152"/>
      <c r="FU191" s="152"/>
      <c r="FV191" s="152"/>
      <c r="FW191" s="152"/>
      <c r="FX191" s="152"/>
    </row>
    <row r="192" spans="1:180" s="153" customFormat="1" ht="16.5" customHeight="1" thickTop="1" thickBot="1" x14ac:dyDescent="0.3">
      <c r="A192" s="436"/>
      <c r="B192" s="475"/>
      <c r="C192" s="158"/>
      <c r="D192" s="165"/>
      <c r="E192" s="165"/>
      <c r="F192" s="165"/>
      <c r="G192" s="165"/>
      <c r="H192" s="164"/>
      <c r="I192" s="164"/>
      <c r="J192" s="165"/>
      <c r="K192" s="165"/>
      <c r="L192" s="472"/>
      <c r="M192" s="47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c r="BI192" s="152"/>
      <c r="BJ192" s="152"/>
      <c r="BK192" s="152"/>
      <c r="BL192" s="152"/>
      <c r="BM192" s="152"/>
      <c r="BN192" s="152"/>
      <c r="BO192" s="152"/>
      <c r="BP192" s="152"/>
      <c r="BQ192" s="152"/>
      <c r="BR192" s="152"/>
      <c r="BS192" s="152"/>
      <c r="BT192" s="152"/>
      <c r="BU192" s="152"/>
      <c r="BV192" s="152"/>
      <c r="BW192" s="152"/>
      <c r="BX192" s="152"/>
      <c r="BY192" s="152"/>
      <c r="BZ192" s="152"/>
      <c r="CA192" s="152"/>
      <c r="CB192" s="152"/>
      <c r="CC192" s="152"/>
      <c r="CD192" s="152"/>
      <c r="CE192" s="152"/>
      <c r="CF192" s="152"/>
      <c r="CG192" s="152"/>
      <c r="CH192" s="152"/>
      <c r="CI192" s="152"/>
      <c r="CJ192" s="152"/>
      <c r="CK192" s="152"/>
      <c r="CL192" s="152"/>
      <c r="CM192" s="152"/>
      <c r="CN192" s="152"/>
      <c r="CO192" s="152"/>
      <c r="CP192" s="152"/>
      <c r="CQ192" s="152"/>
      <c r="CR192" s="152"/>
      <c r="CS192" s="152"/>
      <c r="CT192" s="152"/>
      <c r="CU192" s="152"/>
      <c r="CV192" s="152"/>
      <c r="CW192" s="152"/>
      <c r="CX192" s="152"/>
      <c r="CY192" s="152"/>
      <c r="CZ192" s="152"/>
      <c r="DA192" s="152"/>
      <c r="DB192" s="152"/>
      <c r="DC192" s="152"/>
      <c r="DD192" s="152"/>
      <c r="DE192" s="152"/>
      <c r="DF192" s="152"/>
      <c r="DG192" s="152"/>
      <c r="DH192" s="152"/>
      <c r="DI192" s="152"/>
      <c r="DJ192" s="152"/>
      <c r="DK192" s="152"/>
      <c r="DL192" s="152"/>
      <c r="DM192" s="152"/>
      <c r="DN192" s="152"/>
      <c r="DO192" s="152"/>
      <c r="DP192" s="152"/>
      <c r="DQ192" s="152"/>
      <c r="DR192" s="152"/>
      <c r="DS192" s="152"/>
      <c r="DT192" s="152"/>
      <c r="DU192" s="152"/>
      <c r="DV192" s="152"/>
      <c r="DW192" s="152"/>
      <c r="DX192" s="152"/>
      <c r="DY192" s="152"/>
      <c r="DZ192" s="152"/>
      <c r="EA192" s="152"/>
      <c r="EB192" s="152"/>
      <c r="EC192" s="152"/>
      <c r="ED192" s="152"/>
      <c r="EE192" s="152"/>
      <c r="EF192" s="152"/>
      <c r="EG192" s="152"/>
      <c r="EH192" s="152"/>
      <c r="EI192" s="152"/>
      <c r="EJ192" s="152"/>
      <c r="EK192" s="152"/>
      <c r="EL192" s="152"/>
      <c r="EM192" s="152"/>
      <c r="EN192" s="152"/>
      <c r="EO192" s="152"/>
      <c r="EP192" s="152"/>
      <c r="EQ192" s="152"/>
      <c r="ER192" s="152"/>
      <c r="ES192" s="152"/>
      <c r="ET192" s="152"/>
      <c r="EU192" s="152"/>
      <c r="EV192" s="152"/>
      <c r="EW192" s="152"/>
      <c r="EX192" s="152"/>
      <c r="EY192" s="152"/>
      <c r="EZ192" s="152"/>
      <c r="FA192" s="152"/>
      <c r="FB192" s="152"/>
      <c r="FC192" s="152"/>
      <c r="FD192" s="152"/>
      <c r="FE192" s="152"/>
      <c r="FF192" s="152"/>
      <c r="FG192" s="152"/>
      <c r="FH192" s="152"/>
      <c r="FI192" s="152"/>
      <c r="FJ192" s="152"/>
      <c r="FK192" s="152"/>
      <c r="FL192" s="152"/>
      <c r="FM192" s="152"/>
      <c r="FN192" s="152"/>
      <c r="FO192" s="152"/>
      <c r="FP192" s="152"/>
      <c r="FQ192" s="152"/>
      <c r="FR192" s="152"/>
      <c r="FS192" s="152"/>
      <c r="FT192" s="152"/>
      <c r="FU192" s="152"/>
      <c r="FV192" s="152"/>
      <c r="FW192" s="152"/>
      <c r="FX192" s="152"/>
    </row>
    <row r="193" spans="1:180" s="168" customFormat="1" ht="28.5" customHeight="1" thickTop="1" thickBot="1" x14ac:dyDescent="0.3">
      <c r="A193" s="639" t="s">
        <v>0</v>
      </c>
      <c r="B193" s="639" t="s">
        <v>1</v>
      </c>
      <c r="C193" s="639" t="s">
        <v>2569</v>
      </c>
      <c r="D193" s="636" t="s">
        <v>1961</v>
      </c>
      <c r="E193" s="637"/>
      <c r="F193" s="637"/>
      <c r="G193" s="638"/>
      <c r="H193" s="636" t="s">
        <v>3</v>
      </c>
      <c r="I193" s="637"/>
      <c r="J193" s="636" t="s">
        <v>1962</v>
      </c>
      <c r="K193" s="637"/>
      <c r="L193" s="637"/>
      <c r="M193" s="638"/>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row>
    <row r="194" spans="1:180" s="152" customFormat="1" ht="34.5" customHeight="1" thickTop="1" thickBot="1" x14ac:dyDescent="0.3">
      <c r="A194" s="661"/>
      <c r="B194" s="661"/>
      <c r="C194" s="661"/>
      <c r="D194" s="406" t="s">
        <v>4</v>
      </c>
      <c r="E194" s="406" t="s">
        <v>5</v>
      </c>
      <c r="F194" s="406" t="s">
        <v>6</v>
      </c>
      <c r="G194" s="406" t="s">
        <v>7</v>
      </c>
      <c r="H194" s="406" t="s">
        <v>2</v>
      </c>
      <c r="I194" s="406" t="s">
        <v>3</v>
      </c>
      <c r="J194" s="406" t="s">
        <v>8</v>
      </c>
      <c r="K194" s="406" t="s">
        <v>9</v>
      </c>
      <c r="L194" s="406" t="s">
        <v>1963</v>
      </c>
      <c r="M194" s="406" t="s">
        <v>1964</v>
      </c>
    </row>
    <row r="195" spans="1:180" s="150" customFormat="1" ht="54" customHeight="1" thickTop="1" thickBot="1" x14ac:dyDescent="0.3">
      <c r="A195" s="307" t="s">
        <v>2481</v>
      </c>
      <c r="B195" s="625" t="s">
        <v>2545</v>
      </c>
      <c r="C195" s="413" t="s">
        <v>18</v>
      </c>
      <c r="D195" s="418">
        <v>2</v>
      </c>
      <c r="E195" s="418">
        <v>30</v>
      </c>
      <c r="F195" s="418">
        <v>3</v>
      </c>
      <c r="G195" s="418">
        <v>848</v>
      </c>
      <c r="H195" s="483">
        <v>645650171</v>
      </c>
      <c r="I195" s="483">
        <v>423494400</v>
      </c>
      <c r="J195" s="416" t="s">
        <v>1103</v>
      </c>
      <c r="K195" s="418" t="s">
        <v>20</v>
      </c>
      <c r="L195" s="417">
        <v>723</v>
      </c>
      <c r="M195" s="418">
        <v>723</v>
      </c>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c r="BW195" s="152"/>
      <c r="BX195" s="152"/>
      <c r="BY195" s="152"/>
      <c r="BZ195" s="152"/>
      <c r="CA195" s="152"/>
      <c r="CB195" s="152"/>
      <c r="CC195" s="152"/>
      <c r="CD195" s="152"/>
      <c r="CE195" s="152"/>
      <c r="CF195" s="152"/>
      <c r="CG195" s="152"/>
      <c r="CH195" s="152"/>
      <c r="CI195" s="152"/>
      <c r="CJ195" s="152"/>
      <c r="CK195" s="152"/>
      <c r="CL195" s="152"/>
      <c r="CM195" s="152"/>
      <c r="CN195" s="152"/>
      <c r="CO195" s="152"/>
      <c r="CP195" s="152"/>
      <c r="CQ195" s="152"/>
      <c r="CR195" s="152"/>
      <c r="CS195" s="152"/>
      <c r="CT195" s="152"/>
      <c r="CU195" s="152"/>
      <c r="CV195" s="152"/>
      <c r="CW195" s="152"/>
      <c r="CX195" s="152"/>
      <c r="CY195" s="152"/>
      <c r="CZ195" s="152"/>
      <c r="DA195" s="152"/>
      <c r="DB195" s="152"/>
      <c r="DC195" s="152"/>
      <c r="DD195" s="152"/>
      <c r="DE195" s="152"/>
      <c r="DF195" s="152"/>
      <c r="DG195" s="152"/>
      <c r="DH195" s="152"/>
      <c r="DI195" s="152"/>
      <c r="DJ195" s="152"/>
      <c r="DK195" s="152"/>
      <c r="DL195" s="152"/>
      <c r="DM195" s="152"/>
      <c r="DN195" s="152"/>
      <c r="DO195" s="152"/>
      <c r="DP195" s="152"/>
      <c r="DQ195" s="152"/>
      <c r="DR195" s="152"/>
      <c r="DS195" s="152"/>
      <c r="DT195" s="152"/>
      <c r="DU195" s="152"/>
      <c r="DV195" s="152"/>
      <c r="DW195" s="152"/>
      <c r="DX195" s="152"/>
      <c r="DY195" s="152"/>
      <c r="DZ195" s="152"/>
      <c r="EA195" s="152"/>
      <c r="EB195" s="152"/>
      <c r="EC195" s="152"/>
      <c r="ED195" s="152"/>
      <c r="EE195" s="152"/>
      <c r="EF195" s="152"/>
      <c r="EG195" s="152"/>
      <c r="EH195" s="152"/>
      <c r="EI195" s="152"/>
      <c r="EJ195" s="152"/>
      <c r="EK195" s="152"/>
      <c r="EL195" s="152"/>
      <c r="EM195" s="152"/>
      <c r="EN195" s="152"/>
      <c r="EO195" s="152"/>
      <c r="EP195" s="152"/>
      <c r="EQ195" s="152"/>
      <c r="ER195" s="152"/>
      <c r="ES195" s="152"/>
      <c r="ET195" s="152"/>
      <c r="EU195" s="152"/>
      <c r="EV195" s="152"/>
      <c r="EW195" s="152"/>
      <c r="EX195" s="152"/>
      <c r="EY195" s="152"/>
      <c r="EZ195" s="152"/>
      <c r="FA195" s="152"/>
      <c r="FB195" s="152"/>
      <c r="FC195" s="152"/>
      <c r="FD195" s="152"/>
      <c r="FE195" s="152"/>
      <c r="FF195" s="152"/>
      <c r="FG195" s="152"/>
      <c r="FH195" s="152"/>
      <c r="FI195" s="152"/>
      <c r="FJ195" s="152"/>
      <c r="FK195" s="152"/>
      <c r="FL195" s="152"/>
      <c r="FM195" s="152"/>
      <c r="FN195" s="152"/>
      <c r="FO195" s="152"/>
      <c r="FP195" s="152"/>
      <c r="FQ195" s="152"/>
      <c r="FR195" s="152"/>
      <c r="FS195" s="152"/>
      <c r="FT195" s="152"/>
      <c r="FU195" s="152"/>
      <c r="FV195" s="152"/>
      <c r="FW195" s="152"/>
      <c r="FX195" s="152"/>
    </row>
    <row r="196" spans="1:180" s="150" customFormat="1" ht="36.75" customHeight="1" thickTop="1" thickBot="1" x14ac:dyDescent="0.3">
      <c r="A196" s="307" t="s">
        <v>2481</v>
      </c>
      <c r="B196" s="625" t="s">
        <v>2545</v>
      </c>
      <c r="C196" s="654" t="s">
        <v>53</v>
      </c>
      <c r="D196" s="418">
        <v>2</v>
      </c>
      <c r="E196" s="418">
        <v>30</v>
      </c>
      <c r="F196" s="418">
        <v>3</v>
      </c>
      <c r="G196" s="418">
        <v>520</v>
      </c>
      <c r="H196" s="483">
        <v>9823934</v>
      </c>
      <c r="I196" s="483">
        <v>9823934</v>
      </c>
      <c r="J196" s="416" t="s">
        <v>1104</v>
      </c>
      <c r="K196" s="418" t="s">
        <v>103</v>
      </c>
      <c r="L196" s="418">
        <v>1</v>
      </c>
      <c r="M196" s="418">
        <v>1</v>
      </c>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c r="BI196" s="152"/>
      <c r="BJ196" s="152"/>
      <c r="BK196" s="152"/>
      <c r="BL196" s="152"/>
      <c r="BM196" s="152"/>
      <c r="BN196" s="152"/>
      <c r="BO196" s="152"/>
      <c r="BP196" s="152"/>
      <c r="BQ196" s="152"/>
      <c r="BR196" s="152"/>
      <c r="BS196" s="152"/>
      <c r="BT196" s="152"/>
      <c r="BU196" s="152"/>
      <c r="BV196" s="152"/>
      <c r="BW196" s="152"/>
      <c r="BX196" s="152"/>
      <c r="BY196" s="152"/>
      <c r="BZ196" s="152"/>
      <c r="CA196" s="152"/>
      <c r="CB196" s="152"/>
      <c r="CC196" s="152"/>
      <c r="CD196" s="152"/>
      <c r="CE196" s="152"/>
      <c r="CF196" s="152"/>
      <c r="CG196" s="152"/>
      <c r="CH196" s="152"/>
      <c r="CI196" s="152"/>
      <c r="CJ196" s="152"/>
      <c r="CK196" s="152"/>
      <c r="CL196" s="152"/>
      <c r="CM196" s="152"/>
      <c r="CN196" s="152"/>
      <c r="CO196" s="152"/>
      <c r="CP196" s="152"/>
      <c r="CQ196" s="152"/>
      <c r="CR196" s="152"/>
      <c r="CS196" s="152"/>
      <c r="CT196" s="152"/>
      <c r="CU196" s="152"/>
      <c r="CV196" s="152"/>
      <c r="CW196" s="152"/>
      <c r="CX196" s="152"/>
      <c r="CY196" s="152"/>
      <c r="CZ196" s="152"/>
      <c r="DA196" s="152"/>
      <c r="DB196" s="152"/>
      <c r="DC196" s="152"/>
      <c r="DD196" s="152"/>
      <c r="DE196" s="152"/>
      <c r="DF196" s="152"/>
      <c r="DG196" s="152"/>
      <c r="DH196" s="152"/>
      <c r="DI196" s="152"/>
      <c r="DJ196" s="152"/>
      <c r="DK196" s="152"/>
      <c r="DL196" s="152"/>
      <c r="DM196" s="152"/>
      <c r="DN196" s="152"/>
      <c r="DO196" s="152"/>
      <c r="DP196" s="152"/>
      <c r="DQ196" s="152"/>
      <c r="DR196" s="152"/>
      <c r="DS196" s="152"/>
      <c r="DT196" s="152"/>
      <c r="DU196" s="152"/>
      <c r="DV196" s="152"/>
      <c r="DW196" s="152"/>
      <c r="DX196" s="152"/>
      <c r="DY196" s="152"/>
      <c r="DZ196" s="152"/>
      <c r="EA196" s="152"/>
      <c r="EB196" s="152"/>
      <c r="EC196" s="152"/>
      <c r="ED196" s="152"/>
      <c r="EE196" s="152"/>
      <c r="EF196" s="152"/>
      <c r="EG196" s="152"/>
      <c r="EH196" s="152"/>
      <c r="EI196" s="152"/>
      <c r="EJ196" s="152"/>
      <c r="EK196" s="152"/>
      <c r="EL196" s="152"/>
      <c r="EM196" s="152"/>
      <c r="EN196" s="152"/>
      <c r="EO196" s="152"/>
      <c r="EP196" s="152"/>
      <c r="EQ196" s="152"/>
      <c r="ER196" s="152"/>
      <c r="ES196" s="152"/>
      <c r="ET196" s="152"/>
      <c r="EU196" s="152"/>
      <c r="EV196" s="152"/>
      <c r="EW196" s="152"/>
      <c r="EX196" s="152"/>
      <c r="EY196" s="152"/>
      <c r="EZ196" s="152"/>
      <c r="FA196" s="152"/>
      <c r="FB196" s="152"/>
      <c r="FC196" s="152"/>
      <c r="FD196" s="152"/>
      <c r="FE196" s="152"/>
      <c r="FF196" s="152"/>
      <c r="FG196" s="152"/>
      <c r="FH196" s="152"/>
      <c r="FI196" s="152"/>
      <c r="FJ196" s="152"/>
      <c r="FK196" s="152"/>
      <c r="FL196" s="152"/>
      <c r="FM196" s="152"/>
      <c r="FN196" s="152"/>
      <c r="FO196" s="152"/>
      <c r="FP196" s="152"/>
      <c r="FQ196" s="152"/>
      <c r="FR196" s="152"/>
      <c r="FS196" s="152"/>
      <c r="FT196" s="152"/>
      <c r="FU196" s="152"/>
      <c r="FV196" s="152"/>
      <c r="FW196" s="152"/>
      <c r="FX196" s="152"/>
    </row>
    <row r="197" spans="1:180" s="150" customFormat="1" ht="36.75" customHeight="1" thickTop="1" thickBot="1" x14ac:dyDescent="0.3">
      <c r="A197" s="307" t="s">
        <v>2481</v>
      </c>
      <c r="B197" s="625" t="s">
        <v>2545</v>
      </c>
      <c r="C197" s="654"/>
      <c r="D197" s="418">
        <v>2</v>
      </c>
      <c r="E197" s="418">
        <v>30</v>
      </c>
      <c r="F197" s="418">
        <v>3</v>
      </c>
      <c r="G197" s="418">
        <v>520</v>
      </c>
      <c r="H197" s="483">
        <f>600000000+400000000</f>
        <v>1000000000</v>
      </c>
      <c r="I197" s="483">
        <f>40149223+51237636+324652847</f>
        <v>416039706</v>
      </c>
      <c r="J197" s="416" t="s">
        <v>1105</v>
      </c>
      <c r="K197" s="418" t="s">
        <v>55</v>
      </c>
      <c r="L197" s="418">
        <v>11</v>
      </c>
      <c r="M197" s="418">
        <v>5</v>
      </c>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c r="BT197" s="152"/>
      <c r="BU197" s="152"/>
      <c r="BV197" s="152"/>
      <c r="BW197" s="152"/>
      <c r="BX197" s="152"/>
      <c r="BY197" s="152"/>
      <c r="BZ197" s="152"/>
      <c r="CA197" s="152"/>
      <c r="CB197" s="152"/>
      <c r="CC197" s="152"/>
      <c r="CD197" s="152"/>
      <c r="CE197" s="152"/>
      <c r="CF197" s="152"/>
      <c r="CG197" s="152"/>
      <c r="CH197" s="152"/>
      <c r="CI197" s="152"/>
      <c r="CJ197" s="152"/>
      <c r="CK197" s="152"/>
      <c r="CL197" s="152"/>
      <c r="CM197" s="152"/>
      <c r="CN197" s="152"/>
      <c r="CO197" s="152"/>
      <c r="CP197" s="152"/>
      <c r="CQ197" s="152"/>
      <c r="CR197" s="152"/>
      <c r="CS197" s="152"/>
      <c r="CT197" s="152"/>
      <c r="CU197" s="152"/>
      <c r="CV197" s="152"/>
      <c r="CW197" s="152"/>
      <c r="CX197" s="152"/>
      <c r="CY197" s="152"/>
      <c r="CZ197" s="152"/>
      <c r="DA197" s="152"/>
      <c r="DB197" s="152"/>
      <c r="DC197" s="152"/>
      <c r="DD197" s="152"/>
      <c r="DE197" s="152"/>
      <c r="DF197" s="152"/>
      <c r="DG197" s="152"/>
      <c r="DH197" s="152"/>
      <c r="DI197" s="152"/>
      <c r="DJ197" s="152"/>
      <c r="DK197" s="152"/>
      <c r="DL197" s="152"/>
      <c r="DM197" s="152"/>
      <c r="DN197" s="152"/>
      <c r="DO197" s="152"/>
      <c r="DP197" s="152"/>
      <c r="DQ197" s="152"/>
      <c r="DR197" s="152"/>
      <c r="DS197" s="152"/>
      <c r="DT197" s="152"/>
      <c r="DU197" s="152"/>
      <c r="DV197" s="152"/>
      <c r="DW197" s="152"/>
      <c r="DX197" s="152"/>
      <c r="DY197" s="152"/>
      <c r="DZ197" s="152"/>
      <c r="EA197" s="152"/>
      <c r="EB197" s="152"/>
      <c r="EC197" s="152"/>
      <c r="ED197" s="152"/>
      <c r="EE197" s="152"/>
      <c r="EF197" s="152"/>
      <c r="EG197" s="152"/>
      <c r="EH197" s="152"/>
      <c r="EI197" s="152"/>
      <c r="EJ197" s="152"/>
      <c r="EK197" s="152"/>
      <c r="EL197" s="152"/>
      <c r="EM197" s="152"/>
      <c r="EN197" s="152"/>
      <c r="EO197" s="152"/>
      <c r="EP197" s="152"/>
      <c r="EQ197" s="152"/>
      <c r="ER197" s="152"/>
      <c r="ES197" s="152"/>
      <c r="ET197" s="152"/>
      <c r="EU197" s="152"/>
      <c r="EV197" s="152"/>
      <c r="EW197" s="152"/>
      <c r="EX197" s="152"/>
      <c r="EY197" s="152"/>
      <c r="EZ197" s="152"/>
      <c r="FA197" s="152"/>
      <c r="FB197" s="152"/>
      <c r="FC197" s="152"/>
      <c r="FD197" s="152"/>
      <c r="FE197" s="152"/>
      <c r="FF197" s="152"/>
      <c r="FG197" s="152"/>
      <c r="FH197" s="152"/>
      <c r="FI197" s="152"/>
      <c r="FJ197" s="152"/>
      <c r="FK197" s="152"/>
      <c r="FL197" s="152"/>
      <c r="FM197" s="152"/>
      <c r="FN197" s="152"/>
      <c r="FO197" s="152"/>
      <c r="FP197" s="152"/>
      <c r="FQ197" s="152"/>
      <c r="FR197" s="152"/>
      <c r="FS197" s="152"/>
      <c r="FT197" s="152"/>
      <c r="FU197" s="152"/>
      <c r="FV197" s="152"/>
      <c r="FW197" s="152"/>
      <c r="FX197" s="152"/>
    </row>
    <row r="198" spans="1:180" s="150" customFormat="1" ht="29.25" customHeight="1" thickTop="1" thickBot="1" x14ac:dyDescent="0.3">
      <c r="A198" s="307" t="s">
        <v>2481</v>
      </c>
      <c r="B198" s="625" t="s">
        <v>2545</v>
      </c>
      <c r="C198" s="654"/>
      <c r="D198" s="418">
        <v>2</v>
      </c>
      <c r="E198" s="418">
        <v>30</v>
      </c>
      <c r="F198" s="418">
        <v>3</v>
      </c>
      <c r="G198" s="418">
        <v>520</v>
      </c>
      <c r="H198" s="483">
        <v>300000000</v>
      </c>
      <c r="I198" s="483">
        <v>223274989</v>
      </c>
      <c r="J198" s="416" t="s">
        <v>1106</v>
      </c>
      <c r="K198" s="418" t="s">
        <v>81</v>
      </c>
      <c r="L198" s="418">
        <v>4</v>
      </c>
      <c r="M198" s="418">
        <v>3</v>
      </c>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c r="CB198" s="152"/>
      <c r="CC198" s="152"/>
      <c r="CD198" s="152"/>
      <c r="CE198" s="152"/>
      <c r="CF198" s="152"/>
      <c r="CG198" s="152"/>
      <c r="CH198" s="152"/>
      <c r="CI198" s="152"/>
      <c r="CJ198" s="152"/>
      <c r="CK198" s="152"/>
      <c r="CL198" s="152"/>
      <c r="CM198" s="152"/>
      <c r="CN198" s="152"/>
      <c r="CO198" s="152"/>
      <c r="CP198" s="152"/>
      <c r="CQ198" s="152"/>
      <c r="CR198" s="152"/>
      <c r="CS198" s="152"/>
      <c r="CT198" s="152"/>
      <c r="CU198" s="152"/>
      <c r="CV198" s="152"/>
      <c r="CW198" s="152"/>
      <c r="CX198" s="152"/>
      <c r="CY198" s="152"/>
      <c r="CZ198" s="152"/>
      <c r="DA198" s="152"/>
      <c r="DB198" s="152"/>
      <c r="DC198" s="152"/>
      <c r="DD198" s="152"/>
      <c r="DE198" s="152"/>
      <c r="DF198" s="152"/>
      <c r="DG198" s="152"/>
      <c r="DH198" s="152"/>
      <c r="DI198" s="152"/>
      <c r="DJ198" s="152"/>
      <c r="DK198" s="152"/>
      <c r="DL198" s="152"/>
      <c r="DM198" s="152"/>
      <c r="DN198" s="152"/>
      <c r="DO198" s="152"/>
      <c r="DP198" s="152"/>
      <c r="DQ198" s="152"/>
      <c r="DR198" s="152"/>
      <c r="DS198" s="152"/>
      <c r="DT198" s="152"/>
      <c r="DU198" s="152"/>
      <c r="DV198" s="152"/>
      <c r="DW198" s="152"/>
      <c r="DX198" s="152"/>
      <c r="DY198" s="152"/>
      <c r="DZ198" s="152"/>
      <c r="EA198" s="152"/>
      <c r="EB198" s="152"/>
      <c r="EC198" s="152"/>
      <c r="ED198" s="152"/>
      <c r="EE198" s="152"/>
      <c r="EF198" s="152"/>
      <c r="EG198" s="152"/>
      <c r="EH198" s="152"/>
      <c r="EI198" s="152"/>
      <c r="EJ198" s="152"/>
      <c r="EK198" s="152"/>
      <c r="EL198" s="152"/>
      <c r="EM198" s="152"/>
      <c r="EN198" s="152"/>
      <c r="EO198" s="152"/>
      <c r="EP198" s="152"/>
      <c r="EQ198" s="152"/>
      <c r="ER198" s="152"/>
      <c r="ES198" s="152"/>
      <c r="ET198" s="152"/>
      <c r="EU198" s="152"/>
      <c r="EV198" s="152"/>
      <c r="EW198" s="152"/>
      <c r="EX198" s="152"/>
      <c r="EY198" s="152"/>
      <c r="EZ198" s="152"/>
      <c r="FA198" s="152"/>
      <c r="FB198" s="152"/>
      <c r="FC198" s="152"/>
      <c r="FD198" s="152"/>
      <c r="FE198" s="152"/>
      <c r="FF198" s="152"/>
      <c r="FG198" s="152"/>
      <c r="FH198" s="152"/>
      <c r="FI198" s="152"/>
      <c r="FJ198" s="152"/>
      <c r="FK198" s="152"/>
      <c r="FL198" s="152"/>
      <c r="FM198" s="152"/>
      <c r="FN198" s="152"/>
      <c r="FO198" s="152"/>
      <c r="FP198" s="152"/>
      <c r="FQ198" s="152"/>
      <c r="FR198" s="152"/>
      <c r="FS198" s="152"/>
      <c r="FT198" s="152"/>
      <c r="FU198" s="152"/>
      <c r="FV198" s="152"/>
      <c r="FW198" s="152"/>
      <c r="FX198" s="152"/>
    </row>
    <row r="199" spans="1:180" s="150" customFormat="1" ht="29.25" customHeight="1" thickTop="1" thickBot="1" x14ac:dyDescent="0.3">
      <c r="A199" s="307" t="s">
        <v>2481</v>
      </c>
      <c r="B199" s="625" t="s">
        <v>2545</v>
      </c>
      <c r="C199" s="654"/>
      <c r="D199" s="418">
        <v>2</v>
      </c>
      <c r="E199" s="418">
        <v>30</v>
      </c>
      <c r="F199" s="418">
        <v>3</v>
      </c>
      <c r="G199" s="418">
        <v>520</v>
      </c>
      <c r="H199" s="483">
        <f>113966458+67522141</f>
        <v>181488599</v>
      </c>
      <c r="I199" s="483">
        <v>0</v>
      </c>
      <c r="J199" s="416" t="s">
        <v>1107</v>
      </c>
      <c r="K199" s="418" t="s">
        <v>25</v>
      </c>
      <c r="L199" s="418">
        <v>2</v>
      </c>
      <c r="M199" s="418">
        <v>0</v>
      </c>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c r="BI199" s="152"/>
      <c r="BJ199" s="152"/>
      <c r="BK199" s="152"/>
      <c r="BL199" s="152"/>
      <c r="BM199" s="152"/>
      <c r="BN199" s="152"/>
      <c r="BO199" s="152"/>
      <c r="BP199" s="152"/>
      <c r="BQ199" s="152"/>
      <c r="BR199" s="152"/>
      <c r="BS199" s="152"/>
      <c r="BT199" s="152"/>
      <c r="BU199" s="152"/>
      <c r="BV199" s="152"/>
      <c r="BW199" s="152"/>
      <c r="BX199" s="152"/>
      <c r="BY199" s="152"/>
      <c r="BZ199" s="152"/>
      <c r="CA199" s="152"/>
      <c r="CB199" s="152"/>
      <c r="CC199" s="152"/>
      <c r="CD199" s="152"/>
      <c r="CE199" s="152"/>
      <c r="CF199" s="152"/>
      <c r="CG199" s="152"/>
      <c r="CH199" s="152"/>
      <c r="CI199" s="152"/>
      <c r="CJ199" s="152"/>
      <c r="CK199" s="152"/>
      <c r="CL199" s="152"/>
      <c r="CM199" s="152"/>
      <c r="CN199" s="152"/>
      <c r="CO199" s="152"/>
      <c r="CP199" s="152"/>
      <c r="CQ199" s="152"/>
      <c r="CR199" s="152"/>
      <c r="CS199" s="152"/>
      <c r="CT199" s="152"/>
      <c r="CU199" s="152"/>
      <c r="CV199" s="152"/>
      <c r="CW199" s="152"/>
      <c r="CX199" s="152"/>
      <c r="CY199" s="152"/>
      <c r="CZ199" s="152"/>
      <c r="DA199" s="152"/>
      <c r="DB199" s="152"/>
      <c r="DC199" s="152"/>
      <c r="DD199" s="152"/>
      <c r="DE199" s="152"/>
      <c r="DF199" s="152"/>
      <c r="DG199" s="152"/>
      <c r="DH199" s="152"/>
      <c r="DI199" s="152"/>
      <c r="DJ199" s="152"/>
      <c r="DK199" s="152"/>
      <c r="DL199" s="152"/>
      <c r="DM199" s="152"/>
      <c r="DN199" s="152"/>
      <c r="DO199" s="152"/>
      <c r="DP199" s="152"/>
      <c r="DQ199" s="152"/>
      <c r="DR199" s="152"/>
      <c r="DS199" s="152"/>
      <c r="DT199" s="152"/>
      <c r="DU199" s="152"/>
      <c r="DV199" s="152"/>
      <c r="DW199" s="152"/>
      <c r="DX199" s="152"/>
      <c r="DY199" s="152"/>
      <c r="DZ199" s="152"/>
      <c r="EA199" s="152"/>
      <c r="EB199" s="152"/>
      <c r="EC199" s="152"/>
      <c r="ED199" s="152"/>
      <c r="EE199" s="152"/>
      <c r="EF199" s="152"/>
      <c r="EG199" s="152"/>
      <c r="EH199" s="152"/>
      <c r="EI199" s="152"/>
      <c r="EJ199" s="152"/>
      <c r="EK199" s="152"/>
      <c r="EL199" s="152"/>
      <c r="EM199" s="152"/>
      <c r="EN199" s="152"/>
      <c r="EO199" s="152"/>
      <c r="EP199" s="152"/>
      <c r="EQ199" s="152"/>
      <c r="ER199" s="152"/>
      <c r="ES199" s="152"/>
      <c r="ET199" s="152"/>
      <c r="EU199" s="152"/>
      <c r="EV199" s="152"/>
      <c r="EW199" s="152"/>
      <c r="EX199" s="152"/>
      <c r="EY199" s="152"/>
      <c r="EZ199" s="152"/>
      <c r="FA199" s="152"/>
      <c r="FB199" s="152"/>
      <c r="FC199" s="152"/>
      <c r="FD199" s="152"/>
      <c r="FE199" s="152"/>
      <c r="FF199" s="152"/>
      <c r="FG199" s="152"/>
      <c r="FH199" s="152"/>
      <c r="FI199" s="152"/>
      <c r="FJ199" s="152"/>
      <c r="FK199" s="152"/>
      <c r="FL199" s="152"/>
      <c r="FM199" s="152"/>
      <c r="FN199" s="152"/>
      <c r="FO199" s="152"/>
      <c r="FP199" s="152"/>
      <c r="FQ199" s="152"/>
      <c r="FR199" s="152"/>
      <c r="FS199" s="152"/>
      <c r="FT199" s="152"/>
      <c r="FU199" s="152"/>
      <c r="FV199" s="152"/>
      <c r="FW199" s="152"/>
      <c r="FX199" s="152"/>
    </row>
    <row r="200" spans="1:180" s="153" customFormat="1" ht="15.75" customHeight="1" thickTop="1" thickBot="1" x14ac:dyDescent="0.3">
      <c r="A200" s="161"/>
      <c r="B200" s="475"/>
      <c r="C200" s="158"/>
      <c r="D200" s="165"/>
      <c r="E200" s="165"/>
      <c r="F200" s="165"/>
      <c r="G200" s="165"/>
      <c r="H200" s="164"/>
      <c r="I200" s="165"/>
      <c r="J200" s="165"/>
      <c r="K200" s="165"/>
      <c r="L200" s="165"/>
      <c r="M200" s="165"/>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2"/>
      <c r="BZ200" s="152"/>
      <c r="CA200" s="152"/>
      <c r="CB200" s="152"/>
      <c r="CC200" s="152"/>
      <c r="CD200" s="152"/>
      <c r="CE200" s="152"/>
      <c r="CF200" s="152"/>
      <c r="CG200" s="152"/>
      <c r="CH200" s="152"/>
      <c r="CI200" s="152"/>
      <c r="CJ200" s="152"/>
      <c r="CK200" s="152"/>
      <c r="CL200" s="152"/>
      <c r="CM200" s="152"/>
      <c r="CN200" s="152"/>
      <c r="CO200" s="152"/>
      <c r="CP200" s="152"/>
      <c r="CQ200" s="152"/>
      <c r="CR200" s="152"/>
      <c r="CS200" s="152"/>
      <c r="CT200" s="152"/>
      <c r="CU200" s="152"/>
      <c r="CV200" s="152"/>
      <c r="CW200" s="152"/>
      <c r="CX200" s="152"/>
      <c r="CY200" s="152"/>
      <c r="CZ200" s="152"/>
      <c r="DA200" s="152"/>
      <c r="DB200" s="152"/>
      <c r="DC200" s="152"/>
      <c r="DD200" s="152"/>
      <c r="DE200" s="152"/>
      <c r="DF200" s="152"/>
      <c r="DG200" s="152"/>
      <c r="DH200" s="152"/>
      <c r="DI200" s="152"/>
      <c r="DJ200" s="152"/>
      <c r="DK200" s="152"/>
      <c r="DL200" s="152"/>
      <c r="DM200" s="152"/>
      <c r="DN200" s="152"/>
      <c r="DO200" s="152"/>
      <c r="DP200" s="152"/>
      <c r="DQ200" s="152"/>
      <c r="DR200" s="152"/>
      <c r="DS200" s="152"/>
      <c r="DT200" s="152"/>
      <c r="DU200" s="152"/>
      <c r="DV200" s="152"/>
      <c r="DW200" s="152"/>
      <c r="DX200" s="152"/>
      <c r="DY200" s="152"/>
      <c r="DZ200" s="152"/>
      <c r="EA200" s="152"/>
      <c r="EB200" s="152"/>
      <c r="EC200" s="152"/>
      <c r="ED200" s="152"/>
      <c r="EE200" s="152"/>
      <c r="EF200" s="152"/>
      <c r="EG200" s="152"/>
      <c r="EH200" s="152"/>
      <c r="EI200" s="152"/>
      <c r="EJ200" s="152"/>
      <c r="EK200" s="152"/>
      <c r="EL200" s="152"/>
      <c r="EM200" s="152"/>
      <c r="EN200" s="152"/>
      <c r="EO200" s="152"/>
      <c r="EP200" s="152"/>
      <c r="EQ200" s="152"/>
      <c r="ER200" s="152"/>
      <c r="ES200" s="152"/>
      <c r="ET200" s="152"/>
      <c r="EU200" s="152"/>
      <c r="EV200" s="152"/>
      <c r="EW200" s="152"/>
      <c r="EX200" s="152"/>
      <c r="EY200" s="152"/>
      <c r="EZ200" s="152"/>
      <c r="FA200" s="152"/>
      <c r="FB200" s="152"/>
      <c r="FC200" s="152"/>
      <c r="FD200" s="152"/>
      <c r="FE200" s="152"/>
      <c r="FF200" s="152"/>
      <c r="FG200" s="152"/>
      <c r="FH200" s="152"/>
      <c r="FI200" s="152"/>
      <c r="FJ200" s="152"/>
      <c r="FK200" s="152"/>
      <c r="FL200" s="152"/>
      <c r="FM200" s="152"/>
      <c r="FN200" s="152"/>
      <c r="FO200" s="152"/>
      <c r="FP200" s="152"/>
      <c r="FQ200" s="152"/>
      <c r="FR200" s="152"/>
      <c r="FS200" s="152"/>
      <c r="FT200" s="152"/>
      <c r="FU200" s="152"/>
      <c r="FV200" s="152"/>
      <c r="FW200" s="152"/>
      <c r="FX200" s="152"/>
    </row>
    <row r="201" spans="1:180" s="168" customFormat="1" ht="31.5" customHeight="1" thickTop="1" thickBot="1" x14ac:dyDescent="0.3">
      <c r="A201" s="639" t="s">
        <v>0</v>
      </c>
      <c r="B201" s="639" t="s">
        <v>1</v>
      </c>
      <c r="C201" s="639" t="s">
        <v>2569</v>
      </c>
      <c r="D201" s="636" t="s">
        <v>1961</v>
      </c>
      <c r="E201" s="637"/>
      <c r="F201" s="637"/>
      <c r="G201" s="638"/>
      <c r="H201" s="636" t="s">
        <v>3</v>
      </c>
      <c r="I201" s="637"/>
      <c r="J201" s="636" t="s">
        <v>1962</v>
      </c>
      <c r="K201" s="637"/>
      <c r="L201" s="637"/>
      <c r="M201" s="638"/>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row>
    <row r="202" spans="1:180" s="152" customFormat="1" ht="34.5" customHeight="1" thickTop="1" thickBot="1" x14ac:dyDescent="0.3">
      <c r="A202" s="661"/>
      <c r="B202" s="661"/>
      <c r="C202" s="661"/>
      <c r="D202" s="406" t="s">
        <v>4</v>
      </c>
      <c r="E202" s="406" t="s">
        <v>5</v>
      </c>
      <c r="F202" s="406" t="s">
        <v>6</v>
      </c>
      <c r="G202" s="406" t="s">
        <v>7</v>
      </c>
      <c r="H202" s="406" t="s">
        <v>2</v>
      </c>
      <c r="I202" s="406" t="s">
        <v>3</v>
      </c>
      <c r="J202" s="406" t="s">
        <v>8</v>
      </c>
      <c r="K202" s="406" t="s">
        <v>9</v>
      </c>
      <c r="L202" s="406" t="s">
        <v>1963</v>
      </c>
      <c r="M202" s="406" t="s">
        <v>1964</v>
      </c>
    </row>
    <row r="203" spans="1:180" s="150" customFormat="1" ht="52.5" customHeight="1" thickTop="1" thickBot="1" x14ac:dyDescent="0.3">
      <c r="A203" s="307" t="s">
        <v>2482</v>
      </c>
      <c r="B203" s="625" t="s">
        <v>2545</v>
      </c>
      <c r="C203" s="654" t="s">
        <v>53</v>
      </c>
      <c r="D203" s="418">
        <v>3</v>
      </c>
      <c r="E203" s="418">
        <v>30</v>
      </c>
      <c r="F203" s="418">
        <v>3</v>
      </c>
      <c r="G203" s="418">
        <v>520</v>
      </c>
      <c r="H203" s="483">
        <v>290569399</v>
      </c>
      <c r="I203" s="483">
        <v>135000000</v>
      </c>
      <c r="J203" s="416" t="s">
        <v>1108</v>
      </c>
      <c r="K203" s="418" t="s">
        <v>495</v>
      </c>
      <c r="L203" s="417">
        <v>1</v>
      </c>
      <c r="M203" s="417">
        <v>0</v>
      </c>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c r="BI203" s="152"/>
      <c r="BJ203" s="152"/>
      <c r="BK203" s="152"/>
      <c r="BL203" s="152"/>
      <c r="BM203" s="152"/>
      <c r="BN203" s="152"/>
      <c r="BO203" s="152"/>
      <c r="BP203" s="152"/>
      <c r="BQ203" s="152"/>
      <c r="BR203" s="152"/>
      <c r="BS203" s="152"/>
      <c r="BT203" s="152"/>
      <c r="BU203" s="152"/>
      <c r="BV203" s="152"/>
      <c r="BW203" s="152"/>
      <c r="BX203" s="152"/>
      <c r="BY203" s="152"/>
      <c r="BZ203" s="152"/>
      <c r="CA203" s="152"/>
      <c r="CB203" s="152"/>
      <c r="CC203" s="152"/>
      <c r="CD203" s="152"/>
      <c r="CE203" s="152"/>
      <c r="CF203" s="152"/>
      <c r="CG203" s="152"/>
      <c r="CH203" s="152"/>
      <c r="CI203" s="152"/>
      <c r="CJ203" s="152"/>
      <c r="CK203" s="152"/>
      <c r="CL203" s="152"/>
      <c r="CM203" s="152"/>
      <c r="CN203" s="152"/>
      <c r="CO203" s="152"/>
      <c r="CP203" s="152"/>
      <c r="CQ203" s="152"/>
      <c r="CR203" s="152"/>
      <c r="CS203" s="152"/>
      <c r="CT203" s="152"/>
      <c r="CU203" s="152"/>
      <c r="CV203" s="152"/>
      <c r="CW203" s="152"/>
      <c r="CX203" s="152"/>
      <c r="CY203" s="152"/>
      <c r="CZ203" s="152"/>
      <c r="DA203" s="152"/>
      <c r="DB203" s="152"/>
      <c r="DC203" s="152"/>
      <c r="DD203" s="152"/>
      <c r="DE203" s="152"/>
      <c r="DF203" s="152"/>
      <c r="DG203" s="152"/>
      <c r="DH203" s="152"/>
      <c r="DI203" s="152"/>
      <c r="DJ203" s="152"/>
      <c r="DK203" s="152"/>
      <c r="DL203" s="152"/>
      <c r="DM203" s="152"/>
      <c r="DN203" s="152"/>
      <c r="DO203" s="152"/>
      <c r="DP203" s="152"/>
      <c r="DQ203" s="152"/>
      <c r="DR203" s="152"/>
      <c r="DS203" s="152"/>
      <c r="DT203" s="152"/>
      <c r="DU203" s="152"/>
      <c r="DV203" s="152"/>
      <c r="DW203" s="152"/>
      <c r="DX203" s="152"/>
      <c r="DY203" s="152"/>
      <c r="DZ203" s="152"/>
      <c r="EA203" s="152"/>
      <c r="EB203" s="152"/>
      <c r="EC203" s="152"/>
      <c r="ED203" s="152"/>
      <c r="EE203" s="152"/>
      <c r="EF203" s="152"/>
      <c r="EG203" s="152"/>
      <c r="EH203" s="152"/>
      <c r="EI203" s="152"/>
      <c r="EJ203" s="152"/>
      <c r="EK203" s="152"/>
      <c r="EL203" s="152"/>
      <c r="EM203" s="152"/>
      <c r="EN203" s="152"/>
      <c r="EO203" s="152"/>
      <c r="EP203" s="152"/>
      <c r="EQ203" s="152"/>
      <c r="ER203" s="152"/>
      <c r="ES203" s="152"/>
      <c r="ET203" s="152"/>
      <c r="EU203" s="152"/>
      <c r="EV203" s="152"/>
      <c r="EW203" s="152"/>
      <c r="EX203" s="152"/>
      <c r="EY203" s="152"/>
      <c r="EZ203" s="152"/>
      <c r="FA203" s="152"/>
      <c r="FB203" s="152"/>
      <c r="FC203" s="152"/>
      <c r="FD203" s="152"/>
      <c r="FE203" s="152"/>
      <c r="FF203" s="152"/>
      <c r="FG203" s="152"/>
      <c r="FH203" s="152"/>
      <c r="FI203" s="152"/>
      <c r="FJ203" s="152"/>
      <c r="FK203" s="152"/>
      <c r="FL203" s="152"/>
      <c r="FM203" s="152"/>
      <c r="FN203" s="152"/>
      <c r="FO203" s="152"/>
      <c r="FP203" s="152"/>
      <c r="FQ203" s="152"/>
      <c r="FR203" s="152"/>
      <c r="FS203" s="152"/>
      <c r="FT203" s="152"/>
      <c r="FU203" s="152"/>
      <c r="FV203" s="152"/>
      <c r="FW203" s="152"/>
      <c r="FX203" s="152"/>
    </row>
    <row r="204" spans="1:180" s="150" customFormat="1" ht="44.25" customHeight="1" thickTop="1" thickBot="1" x14ac:dyDescent="0.3">
      <c r="A204" s="307" t="s">
        <v>2482</v>
      </c>
      <c r="B204" s="625" t="s">
        <v>2545</v>
      </c>
      <c r="C204" s="654"/>
      <c r="D204" s="418">
        <v>3</v>
      </c>
      <c r="E204" s="418">
        <v>30</v>
      </c>
      <c r="F204" s="418">
        <v>3</v>
      </c>
      <c r="G204" s="418">
        <v>520</v>
      </c>
      <c r="H204" s="483">
        <v>70000000</v>
      </c>
      <c r="I204" s="483">
        <v>62744699</v>
      </c>
      <c r="J204" s="416" t="s">
        <v>1109</v>
      </c>
      <c r="K204" s="418" t="s">
        <v>13</v>
      </c>
      <c r="L204" s="417">
        <v>1</v>
      </c>
      <c r="M204" s="417">
        <v>1</v>
      </c>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c r="BI204" s="152"/>
      <c r="BJ204" s="152"/>
      <c r="BK204" s="152"/>
      <c r="BL204" s="152"/>
      <c r="BM204" s="152"/>
      <c r="BN204" s="152"/>
      <c r="BO204" s="152"/>
      <c r="BP204" s="152"/>
      <c r="BQ204" s="152"/>
      <c r="BR204" s="152"/>
      <c r="BS204" s="152"/>
      <c r="BT204" s="152"/>
      <c r="BU204" s="152"/>
      <c r="BV204" s="152"/>
      <c r="BW204" s="152"/>
      <c r="BX204" s="152"/>
      <c r="BY204" s="152"/>
      <c r="BZ204" s="152"/>
      <c r="CA204" s="152"/>
      <c r="CB204" s="152"/>
      <c r="CC204" s="152"/>
      <c r="CD204" s="152"/>
      <c r="CE204" s="152"/>
      <c r="CF204" s="152"/>
      <c r="CG204" s="152"/>
      <c r="CH204" s="152"/>
      <c r="CI204" s="152"/>
      <c r="CJ204" s="152"/>
      <c r="CK204" s="152"/>
      <c r="CL204" s="152"/>
      <c r="CM204" s="152"/>
      <c r="CN204" s="152"/>
      <c r="CO204" s="152"/>
      <c r="CP204" s="152"/>
      <c r="CQ204" s="152"/>
      <c r="CR204" s="152"/>
      <c r="CS204" s="152"/>
      <c r="CT204" s="152"/>
      <c r="CU204" s="152"/>
      <c r="CV204" s="152"/>
      <c r="CW204" s="152"/>
      <c r="CX204" s="152"/>
      <c r="CY204" s="152"/>
      <c r="CZ204" s="152"/>
      <c r="DA204" s="152"/>
      <c r="DB204" s="152"/>
      <c r="DC204" s="152"/>
      <c r="DD204" s="152"/>
      <c r="DE204" s="152"/>
      <c r="DF204" s="152"/>
      <c r="DG204" s="152"/>
      <c r="DH204" s="152"/>
      <c r="DI204" s="152"/>
      <c r="DJ204" s="152"/>
      <c r="DK204" s="152"/>
      <c r="DL204" s="152"/>
      <c r="DM204" s="152"/>
      <c r="DN204" s="152"/>
      <c r="DO204" s="152"/>
      <c r="DP204" s="152"/>
      <c r="DQ204" s="152"/>
      <c r="DR204" s="152"/>
      <c r="DS204" s="152"/>
      <c r="DT204" s="152"/>
      <c r="DU204" s="152"/>
      <c r="DV204" s="152"/>
      <c r="DW204" s="152"/>
      <c r="DX204" s="152"/>
      <c r="DY204" s="152"/>
      <c r="DZ204" s="152"/>
      <c r="EA204" s="152"/>
      <c r="EB204" s="152"/>
      <c r="EC204" s="152"/>
      <c r="ED204" s="152"/>
      <c r="EE204" s="152"/>
      <c r="EF204" s="152"/>
      <c r="EG204" s="152"/>
      <c r="EH204" s="152"/>
      <c r="EI204" s="152"/>
      <c r="EJ204" s="152"/>
      <c r="EK204" s="152"/>
      <c r="EL204" s="152"/>
      <c r="EM204" s="152"/>
      <c r="EN204" s="152"/>
      <c r="EO204" s="152"/>
      <c r="EP204" s="152"/>
      <c r="EQ204" s="152"/>
      <c r="ER204" s="152"/>
      <c r="ES204" s="152"/>
      <c r="ET204" s="152"/>
      <c r="EU204" s="152"/>
      <c r="EV204" s="152"/>
      <c r="EW204" s="152"/>
      <c r="EX204" s="152"/>
      <c r="EY204" s="152"/>
      <c r="EZ204" s="152"/>
      <c r="FA204" s="152"/>
      <c r="FB204" s="152"/>
      <c r="FC204" s="152"/>
      <c r="FD204" s="152"/>
      <c r="FE204" s="152"/>
      <c r="FF204" s="152"/>
      <c r="FG204" s="152"/>
      <c r="FH204" s="152"/>
      <c r="FI204" s="152"/>
      <c r="FJ204" s="152"/>
      <c r="FK204" s="152"/>
      <c r="FL204" s="152"/>
      <c r="FM204" s="152"/>
      <c r="FN204" s="152"/>
      <c r="FO204" s="152"/>
      <c r="FP204" s="152"/>
      <c r="FQ204" s="152"/>
      <c r="FR204" s="152"/>
      <c r="FS204" s="152"/>
      <c r="FT204" s="152"/>
      <c r="FU204" s="152"/>
      <c r="FV204" s="152"/>
      <c r="FW204" s="152"/>
      <c r="FX204" s="152"/>
    </row>
    <row r="205" spans="1:180" s="150" customFormat="1" ht="52.5" customHeight="1" thickTop="1" thickBot="1" x14ac:dyDescent="0.3">
      <c r="A205" s="307" t="s">
        <v>2482</v>
      </c>
      <c r="B205" s="625" t="s">
        <v>2545</v>
      </c>
      <c r="C205" s="654"/>
      <c r="D205" s="418">
        <v>3</v>
      </c>
      <c r="E205" s="418">
        <v>30</v>
      </c>
      <c r="F205" s="418">
        <v>3</v>
      </c>
      <c r="G205" s="418">
        <v>520</v>
      </c>
      <c r="H205" s="483">
        <v>120751723</v>
      </c>
      <c r="I205" s="483">
        <v>60000000</v>
      </c>
      <c r="J205" s="416" t="s">
        <v>1110</v>
      </c>
      <c r="K205" s="418" t="s">
        <v>55</v>
      </c>
      <c r="L205" s="417">
        <v>1</v>
      </c>
      <c r="M205" s="417">
        <v>0</v>
      </c>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c r="BI205" s="152"/>
      <c r="BJ205" s="152"/>
      <c r="BK205" s="152"/>
      <c r="BL205" s="152"/>
      <c r="BM205" s="152"/>
      <c r="BN205" s="152"/>
      <c r="BO205" s="152"/>
      <c r="BP205" s="152"/>
      <c r="BQ205" s="152"/>
      <c r="BR205" s="152"/>
      <c r="BS205" s="152"/>
      <c r="BT205" s="152"/>
      <c r="BU205" s="152"/>
      <c r="BV205" s="152"/>
      <c r="BW205" s="152"/>
      <c r="BX205" s="152"/>
      <c r="BY205" s="152"/>
      <c r="BZ205" s="152"/>
      <c r="CA205" s="152"/>
      <c r="CB205" s="152"/>
      <c r="CC205" s="152"/>
      <c r="CD205" s="152"/>
      <c r="CE205" s="152"/>
      <c r="CF205" s="152"/>
      <c r="CG205" s="152"/>
      <c r="CH205" s="152"/>
      <c r="CI205" s="152"/>
      <c r="CJ205" s="152"/>
      <c r="CK205" s="152"/>
      <c r="CL205" s="152"/>
      <c r="CM205" s="152"/>
      <c r="CN205" s="152"/>
      <c r="CO205" s="152"/>
      <c r="CP205" s="152"/>
      <c r="CQ205" s="152"/>
      <c r="CR205" s="152"/>
      <c r="CS205" s="152"/>
      <c r="CT205" s="152"/>
      <c r="CU205" s="152"/>
      <c r="CV205" s="152"/>
      <c r="CW205" s="152"/>
      <c r="CX205" s="152"/>
      <c r="CY205" s="152"/>
      <c r="CZ205" s="152"/>
      <c r="DA205" s="152"/>
      <c r="DB205" s="152"/>
      <c r="DC205" s="152"/>
      <c r="DD205" s="152"/>
      <c r="DE205" s="152"/>
      <c r="DF205" s="152"/>
      <c r="DG205" s="152"/>
      <c r="DH205" s="152"/>
      <c r="DI205" s="152"/>
      <c r="DJ205" s="152"/>
      <c r="DK205" s="152"/>
      <c r="DL205" s="152"/>
      <c r="DM205" s="152"/>
      <c r="DN205" s="152"/>
      <c r="DO205" s="152"/>
      <c r="DP205" s="152"/>
      <c r="DQ205" s="152"/>
      <c r="DR205" s="152"/>
      <c r="DS205" s="152"/>
      <c r="DT205" s="152"/>
      <c r="DU205" s="152"/>
      <c r="DV205" s="152"/>
      <c r="DW205" s="152"/>
      <c r="DX205" s="152"/>
      <c r="DY205" s="152"/>
      <c r="DZ205" s="152"/>
      <c r="EA205" s="152"/>
      <c r="EB205" s="152"/>
      <c r="EC205" s="152"/>
      <c r="ED205" s="152"/>
      <c r="EE205" s="152"/>
      <c r="EF205" s="152"/>
      <c r="EG205" s="152"/>
      <c r="EH205" s="152"/>
      <c r="EI205" s="152"/>
      <c r="EJ205" s="152"/>
      <c r="EK205" s="152"/>
      <c r="EL205" s="152"/>
      <c r="EM205" s="152"/>
      <c r="EN205" s="152"/>
      <c r="EO205" s="152"/>
      <c r="EP205" s="152"/>
      <c r="EQ205" s="152"/>
      <c r="ER205" s="152"/>
      <c r="ES205" s="152"/>
      <c r="ET205" s="152"/>
      <c r="EU205" s="152"/>
      <c r="EV205" s="152"/>
      <c r="EW205" s="152"/>
      <c r="EX205" s="152"/>
      <c r="EY205" s="152"/>
      <c r="EZ205" s="152"/>
      <c r="FA205" s="152"/>
      <c r="FB205" s="152"/>
      <c r="FC205" s="152"/>
      <c r="FD205" s="152"/>
      <c r="FE205" s="152"/>
      <c r="FF205" s="152"/>
      <c r="FG205" s="152"/>
      <c r="FH205" s="152"/>
      <c r="FI205" s="152"/>
      <c r="FJ205" s="152"/>
      <c r="FK205" s="152"/>
      <c r="FL205" s="152"/>
      <c r="FM205" s="152"/>
      <c r="FN205" s="152"/>
      <c r="FO205" s="152"/>
      <c r="FP205" s="152"/>
      <c r="FQ205" s="152"/>
      <c r="FR205" s="152"/>
      <c r="FS205" s="152"/>
      <c r="FT205" s="152"/>
      <c r="FU205" s="152"/>
      <c r="FV205" s="152"/>
      <c r="FW205" s="152"/>
      <c r="FX205" s="152"/>
    </row>
    <row r="206" spans="1:180" s="150" customFormat="1" ht="52.5" customHeight="1" thickTop="1" thickBot="1" x14ac:dyDescent="0.3">
      <c r="A206" s="307" t="s">
        <v>2482</v>
      </c>
      <c r="B206" s="625" t="s">
        <v>2545</v>
      </c>
      <c r="C206" s="413" t="s">
        <v>53</v>
      </c>
      <c r="D206" s="418">
        <v>3</v>
      </c>
      <c r="E206" s="418">
        <v>30</v>
      </c>
      <c r="F206" s="418">
        <v>3</v>
      </c>
      <c r="G206" s="418">
        <v>520</v>
      </c>
      <c r="H206" s="483">
        <v>121051723</v>
      </c>
      <c r="I206" s="483">
        <v>109728411</v>
      </c>
      <c r="J206" s="416" t="s">
        <v>1111</v>
      </c>
      <c r="K206" s="418" t="s">
        <v>55</v>
      </c>
      <c r="L206" s="417">
        <v>1</v>
      </c>
      <c r="M206" s="417">
        <v>1</v>
      </c>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c r="BI206" s="152"/>
      <c r="BJ206" s="152"/>
      <c r="BK206" s="152"/>
      <c r="BL206" s="152"/>
      <c r="BM206" s="152"/>
      <c r="BN206" s="152"/>
      <c r="BO206" s="152"/>
      <c r="BP206" s="152"/>
      <c r="BQ206" s="152"/>
      <c r="BR206" s="152"/>
      <c r="BS206" s="152"/>
      <c r="BT206" s="152"/>
      <c r="BU206" s="152"/>
      <c r="BV206" s="152"/>
      <c r="BW206" s="152"/>
      <c r="BX206" s="152"/>
      <c r="BY206" s="152"/>
      <c r="BZ206" s="152"/>
      <c r="CA206" s="152"/>
      <c r="CB206" s="152"/>
      <c r="CC206" s="152"/>
      <c r="CD206" s="152"/>
      <c r="CE206" s="152"/>
      <c r="CF206" s="152"/>
      <c r="CG206" s="152"/>
      <c r="CH206" s="152"/>
      <c r="CI206" s="152"/>
      <c r="CJ206" s="152"/>
      <c r="CK206" s="152"/>
      <c r="CL206" s="152"/>
      <c r="CM206" s="152"/>
      <c r="CN206" s="152"/>
      <c r="CO206" s="152"/>
      <c r="CP206" s="152"/>
      <c r="CQ206" s="152"/>
      <c r="CR206" s="152"/>
      <c r="CS206" s="152"/>
      <c r="CT206" s="152"/>
      <c r="CU206" s="152"/>
      <c r="CV206" s="152"/>
      <c r="CW206" s="152"/>
      <c r="CX206" s="152"/>
      <c r="CY206" s="152"/>
      <c r="CZ206" s="152"/>
      <c r="DA206" s="152"/>
      <c r="DB206" s="152"/>
      <c r="DC206" s="152"/>
      <c r="DD206" s="152"/>
      <c r="DE206" s="152"/>
      <c r="DF206" s="152"/>
      <c r="DG206" s="152"/>
      <c r="DH206" s="152"/>
      <c r="DI206" s="152"/>
      <c r="DJ206" s="152"/>
      <c r="DK206" s="152"/>
      <c r="DL206" s="152"/>
      <c r="DM206" s="152"/>
      <c r="DN206" s="152"/>
      <c r="DO206" s="152"/>
      <c r="DP206" s="152"/>
      <c r="DQ206" s="152"/>
      <c r="DR206" s="152"/>
      <c r="DS206" s="152"/>
      <c r="DT206" s="152"/>
      <c r="DU206" s="152"/>
      <c r="DV206" s="152"/>
      <c r="DW206" s="152"/>
      <c r="DX206" s="152"/>
      <c r="DY206" s="152"/>
      <c r="DZ206" s="152"/>
      <c r="EA206" s="152"/>
      <c r="EB206" s="152"/>
      <c r="EC206" s="152"/>
      <c r="ED206" s="152"/>
      <c r="EE206" s="152"/>
      <c r="EF206" s="152"/>
      <c r="EG206" s="152"/>
      <c r="EH206" s="152"/>
      <c r="EI206" s="152"/>
      <c r="EJ206" s="152"/>
      <c r="EK206" s="152"/>
      <c r="EL206" s="152"/>
      <c r="EM206" s="152"/>
      <c r="EN206" s="152"/>
      <c r="EO206" s="152"/>
      <c r="EP206" s="152"/>
      <c r="EQ206" s="152"/>
      <c r="ER206" s="152"/>
      <c r="ES206" s="152"/>
      <c r="ET206" s="152"/>
      <c r="EU206" s="152"/>
      <c r="EV206" s="152"/>
      <c r="EW206" s="152"/>
      <c r="EX206" s="152"/>
      <c r="EY206" s="152"/>
      <c r="EZ206" s="152"/>
      <c r="FA206" s="152"/>
      <c r="FB206" s="152"/>
      <c r="FC206" s="152"/>
      <c r="FD206" s="152"/>
      <c r="FE206" s="152"/>
      <c r="FF206" s="152"/>
      <c r="FG206" s="152"/>
      <c r="FH206" s="152"/>
      <c r="FI206" s="152"/>
      <c r="FJ206" s="152"/>
      <c r="FK206" s="152"/>
      <c r="FL206" s="152"/>
      <c r="FM206" s="152"/>
      <c r="FN206" s="152"/>
      <c r="FO206" s="152"/>
      <c r="FP206" s="152"/>
      <c r="FQ206" s="152"/>
      <c r="FR206" s="152"/>
      <c r="FS206" s="152"/>
      <c r="FT206" s="152"/>
      <c r="FU206" s="152"/>
      <c r="FV206" s="152"/>
      <c r="FW206" s="152"/>
      <c r="FX206" s="152"/>
    </row>
    <row r="207" spans="1:180" s="150" customFormat="1" ht="52.5" customHeight="1" thickTop="1" thickBot="1" x14ac:dyDescent="0.3">
      <c r="A207" s="307" t="s">
        <v>2482</v>
      </c>
      <c r="B207" s="625" t="s">
        <v>2545</v>
      </c>
      <c r="C207" s="413" t="s">
        <v>53</v>
      </c>
      <c r="D207" s="418">
        <v>3</v>
      </c>
      <c r="E207" s="418">
        <v>30</v>
      </c>
      <c r="F207" s="418">
        <v>3</v>
      </c>
      <c r="G207" s="418">
        <v>520</v>
      </c>
      <c r="H207" s="483">
        <v>40173950</v>
      </c>
      <c r="I207" s="483">
        <v>15000000</v>
      </c>
      <c r="J207" s="416" t="s">
        <v>1112</v>
      </c>
      <c r="K207" s="418" t="s">
        <v>25</v>
      </c>
      <c r="L207" s="417">
        <v>1</v>
      </c>
      <c r="M207" s="417">
        <v>0</v>
      </c>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c r="BI207" s="152"/>
      <c r="BJ207" s="152"/>
      <c r="BK207" s="152"/>
      <c r="BL207" s="152"/>
      <c r="BM207" s="152"/>
      <c r="BN207" s="152"/>
      <c r="BO207" s="152"/>
      <c r="BP207" s="152"/>
      <c r="BQ207" s="152"/>
      <c r="BR207" s="152"/>
      <c r="BS207" s="152"/>
      <c r="BT207" s="152"/>
      <c r="BU207" s="152"/>
      <c r="BV207" s="152"/>
      <c r="BW207" s="152"/>
      <c r="BX207" s="152"/>
      <c r="BY207" s="152"/>
      <c r="BZ207" s="152"/>
      <c r="CA207" s="152"/>
      <c r="CB207" s="152"/>
      <c r="CC207" s="152"/>
      <c r="CD207" s="152"/>
      <c r="CE207" s="152"/>
      <c r="CF207" s="152"/>
      <c r="CG207" s="152"/>
      <c r="CH207" s="152"/>
      <c r="CI207" s="152"/>
      <c r="CJ207" s="152"/>
      <c r="CK207" s="152"/>
      <c r="CL207" s="152"/>
      <c r="CM207" s="152"/>
      <c r="CN207" s="152"/>
      <c r="CO207" s="152"/>
      <c r="CP207" s="152"/>
      <c r="CQ207" s="152"/>
      <c r="CR207" s="152"/>
      <c r="CS207" s="152"/>
      <c r="CT207" s="152"/>
      <c r="CU207" s="152"/>
      <c r="CV207" s="152"/>
      <c r="CW207" s="152"/>
      <c r="CX207" s="152"/>
      <c r="CY207" s="152"/>
      <c r="CZ207" s="152"/>
      <c r="DA207" s="152"/>
      <c r="DB207" s="152"/>
      <c r="DC207" s="152"/>
      <c r="DD207" s="152"/>
      <c r="DE207" s="152"/>
      <c r="DF207" s="152"/>
      <c r="DG207" s="152"/>
      <c r="DH207" s="152"/>
      <c r="DI207" s="152"/>
      <c r="DJ207" s="152"/>
      <c r="DK207" s="152"/>
      <c r="DL207" s="152"/>
      <c r="DM207" s="152"/>
      <c r="DN207" s="152"/>
      <c r="DO207" s="152"/>
      <c r="DP207" s="152"/>
      <c r="DQ207" s="152"/>
      <c r="DR207" s="152"/>
      <c r="DS207" s="152"/>
      <c r="DT207" s="152"/>
      <c r="DU207" s="152"/>
      <c r="DV207" s="152"/>
      <c r="DW207" s="152"/>
      <c r="DX207" s="152"/>
      <c r="DY207" s="152"/>
      <c r="DZ207" s="152"/>
      <c r="EA207" s="152"/>
      <c r="EB207" s="152"/>
      <c r="EC207" s="152"/>
      <c r="ED207" s="152"/>
      <c r="EE207" s="152"/>
      <c r="EF207" s="152"/>
      <c r="EG207" s="152"/>
      <c r="EH207" s="152"/>
      <c r="EI207" s="152"/>
      <c r="EJ207" s="152"/>
      <c r="EK207" s="152"/>
      <c r="EL207" s="152"/>
      <c r="EM207" s="152"/>
      <c r="EN207" s="152"/>
      <c r="EO207" s="152"/>
      <c r="EP207" s="152"/>
      <c r="EQ207" s="152"/>
      <c r="ER207" s="152"/>
      <c r="ES207" s="152"/>
      <c r="ET207" s="152"/>
      <c r="EU207" s="152"/>
      <c r="EV207" s="152"/>
      <c r="EW207" s="152"/>
      <c r="EX207" s="152"/>
      <c r="EY207" s="152"/>
      <c r="EZ207" s="152"/>
      <c r="FA207" s="152"/>
      <c r="FB207" s="152"/>
      <c r="FC207" s="152"/>
      <c r="FD207" s="152"/>
      <c r="FE207" s="152"/>
      <c r="FF207" s="152"/>
      <c r="FG207" s="152"/>
      <c r="FH207" s="152"/>
      <c r="FI207" s="152"/>
      <c r="FJ207" s="152"/>
      <c r="FK207" s="152"/>
      <c r="FL207" s="152"/>
      <c r="FM207" s="152"/>
      <c r="FN207" s="152"/>
      <c r="FO207" s="152"/>
      <c r="FP207" s="152"/>
      <c r="FQ207" s="152"/>
      <c r="FR207" s="152"/>
      <c r="FS207" s="152"/>
      <c r="FT207" s="152"/>
      <c r="FU207" s="152"/>
      <c r="FV207" s="152"/>
      <c r="FW207" s="152"/>
      <c r="FX207" s="152"/>
    </row>
    <row r="208" spans="1:180" s="150" customFormat="1" ht="52.5" customHeight="1" thickTop="1" thickBot="1" x14ac:dyDescent="0.3">
      <c r="A208" s="307" t="s">
        <v>2482</v>
      </c>
      <c r="B208" s="625" t="s">
        <v>2545</v>
      </c>
      <c r="C208" s="413" t="s">
        <v>53</v>
      </c>
      <c r="D208" s="418">
        <v>3</v>
      </c>
      <c r="E208" s="418">
        <v>30</v>
      </c>
      <c r="F208" s="418">
        <v>3</v>
      </c>
      <c r="G208" s="418">
        <v>520</v>
      </c>
      <c r="H208" s="483">
        <v>40173950</v>
      </c>
      <c r="I208" s="483">
        <v>36915728</v>
      </c>
      <c r="J208" s="416" t="s">
        <v>1113</v>
      </c>
      <c r="K208" s="418" t="s">
        <v>25</v>
      </c>
      <c r="L208" s="417">
        <v>1</v>
      </c>
      <c r="M208" s="417">
        <v>1</v>
      </c>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c r="BI208" s="152"/>
      <c r="BJ208" s="152"/>
      <c r="BK208" s="152"/>
      <c r="BL208" s="152"/>
      <c r="BM208" s="152"/>
      <c r="BN208" s="152"/>
      <c r="BO208" s="152"/>
      <c r="BP208" s="152"/>
      <c r="BQ208" s="152"/>
      <c r="BR208" s="152"/>
      <c r="BS208" s="152"/>
      <c r="BT208" s="152"/>
      <c r="BU208" s="152"/>
      <c r="BV208" s="152"/>
      <c r="BW208" s="152"/>
      <c r="BX208" s="152"/>
      <c r="BY208" s="152"/>
      <c r="BZ208" s="152"/>
      <c r="CA208" s="152"/>
      <c r="CB208" s="152"/>
      <c r="CC208" s="152"/>
      <c r="CD208" s="152"/>
      <c r="CE208" s="152"/>
      <c r="CF208" s="152"/>
      <c r="CG208" s="152"/>
      <c r="CH208" s="152"/>
      <c r="CI208" s="152"/>
      <c r="CJ208" s="152"/>
      <c r="CK208" s="152"/>
      <c r="CL208" s="152"/>
      <c r="CM208" s="152"/>
      <c r="CN208" s="152"/>
      <c r="CO208" s="152"/>
      <c r="CP208" s="152"/>
      <c r="CQ208" s="152"/>
      <c r="CR208" s="152"/>
      <c r="CS208" s="152"/>
      <c r="CT208" s="152"/>
      <c r="CU208" s="152"/>
      <c r="CV208" s="152"/>
      <c r="CW208" s="152"/>
      <c r="CX208" s="152"/>
      <c r="CY208" s="152"/>
      <c r="CZ208" s="152"/>
      <c r="DA208" s="152"/>
      <c r="DB208" s="152"/>
      <c r="DC208" s="152"/>
      <c r="DD208" s="152"/>
      <c r="DE208" s="152"/>
      <c r="DF208" s="152"/>
      <c r="DG208" s="152"/>
      <c r="DH208" s="152"/>
      <c r="DI208" s="152"/>
      <c r="DJ208" s="152"/>
      <c r="DK208" s="152"/>
      <c r="DL208" s="152"/>
      <c r="DM208" s="152"/>
      <c r="DN208" s="152"/>
      <c r="DO208" s="152"/>
      <c r="DP208" s="152"/>
      <c r="DQ208" s="152"/>
      <c r="DR208" s="152"/>
      <c r="DS208" s="152"/>
      <c r="DT208" s="152"/>
      <c r="DU208" s="152"/>
      <c r="DV208" s="152"/>
      <c r="DW208" s="152"/>
      <c r="DX208" s="152"/>
      <c r="DY208" s="152"/>
      <c r="DZ208" s="152"/>
      <c r="EA208" s="152"/>
      <c r="EB208" s="152"/>
      <c r="EC208" s="152"/>
      <c r="ED208" s="152"/>
      <c r="EE208" s="152"/>
      <c r="EF208" s="152"/>
      <c r="EG208" s="152"/>
      <c r="EH208" s="152"/>
      <c r="EI208" s="152"/>
      <c r="EJ208" s="152"/>
      <c r="EK208" s="152"/>
      <c r="EL208" s="152"/>
      <c r="EM208" s="152"/>
      <c r="EN208" s="152"/>
      <c r="EO208" s="152"/>
      <c r="EP208" s="152"/>
      <c r="EQ208" s="152"/>
      <c r="ER208" s="152"/>
      <c r="ES208" s="152"/>
      <c r="ET208" s="152"/>
      <c r="EU208" s="152"/>
      <c r="EV208" s="152"/>
      <c r="EW208" s="152"/>
      <c r="EX208" s="152"/>
      <c r="EY208" s="152"/>
      <c r="EZ208" s="152"/>
      <c r="FA208" s="152"/>
      <c r="FB208" s="152"/>
      <c r="FC208" s="152"/>
      <c r="FD208" s="152"/>
      <c r="FE208" s="152"/>
      <c r="FF208" s="152"/>
      <c r="FG208" s="152"/>
      <c r="FH208" s="152"/>
      <c r="FI208" s="152"/>
      <c r="FJ208" s="152"/>
      <c r="FK208" s="152"/>
      <c r="FL208" s="152"/>
      <c r="FM208" s="152"/>
      <c r="FN208" s="152"/>
      <c r="FO208" s="152"/>
      <c r="FP208" s="152"/>
      <c r="FQ208" s="152"/>
      <c r="FR208" s="152"/>
      <c r="FS208" s="152"/>
      <c r="FT208" s="152"/>
      <c r="FU208" s="152"/>
      <c r="FV208" s="152"/>
      <c r="FW208" s="152"/>
      <c r="FX208" s="152"/>
    </row>
    <row r="209" spans="1:180" s="150" customFormat="1" ht="51" customHeight="1" thickTop="1" thickBot="1" x14ac:dyDescent="0.3">
      <c r="A209" s="307" t="s">
        <v>2482</v>
      </c>
      <c r="B209" s="625" t="s">
        <v>2545</v>
      </c>
      <c r="C209" s="413" t="s">
        <v>53</v>
      </c>
      <c r="D209" s="418">
        <v>3</v>
      </c>
      <c r="E209" s="418">
        <v>30</v>
      </c>
      <c r="F209" s="418">
        <v>3</v>
      </c>
      <c r="G209" s="418">
        <v>520</v>
      </c>
      <c r="H209" s="483">
        <v>85292000</v>
      </c>
      <c r="I209" s="483">
        <v>45292000</v>
      </c>
      <c r="J209" s="416" t="s">
        <v>1114</v>
      </c>
      <c r="K209" s="418" t="s">
        <v>13</v>
      </c>
      <c r="L209" s="417">
        <v>1</v>
      </c>
      <c r="M209" s="417">
        <v>0</v>
      </c>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152"/>
      <c r="BP209" s="152"/>
      <c r="BQ209" s="152"/>
      <c r="BR209" s="152"/>
      <c r="BS209" s="152"/>
      <c r="BT209" s="152"/>
      <c r="BU209" s="152"/>
      <c r="BV209" s="152"/>
      <c r="BW209" s="152"/>
      <c r="BX209" s="152"/>
      <c r="BY209" s="152"/>
      <c r="BZ209" s="152"/>
      <c r="CA209" s="152"/>
      <c r="CB209" s="152"/>
      <c r="CC209" s="152"/>
      <c r="CD209" s="152"/>
      <c r="CE209" s="152"/>
      <c r="CF209" s="152"/>
      <c r="CG209" s="152"/>
      <c r="CH209" s="152"/>
      <c r="CI209" s="152"/>
      <c r="CJ209" s="152"/>
      <c r="CK209" s="152"/>
      <c r="CL209" s="152"/>
      <c r="CM209" s="152"/>
      <c r="CN209" s="152"/>
      <c r="CO209" s="152"/>
      <c r="CP209" s="152"/>
      <c r="CQ209" s="152"/>
      <c r="CR209" s="152"/>
      <c r="CS209" s="152"/>
      <c r="CT209" s="152"/>
      <c r="CU209" s="152"/>
      <c r="CV209" s="152"/>
      <c r="CW209" s="152"/>
      <c r="CX209" s="152"/>
      <c r="CY209" s="152"/>
      <c r="CZ209" s="152"/>
      <c r="DA209" s="152"/>
      <c r="DB209" s="152"/>
      <c r="DC209" s="152"/>
      <c r="DD209" s="152"/>
      <c r="DE209" s="152"/>
      <c r="DF209" s="152"/>
      <c r="DG209" s="152"/>
      <c r="DH209" s="152"/>
      <c r="DI209" s="152"/>
      <c r="DJ209" s="152"/>
      <c r="DK209" s="152"/>
      <c r="DL209" s="152"/>
      <c r="DM209" s="152"/>
      <c r="DN209" s="152"/>
      <c r="DO209" s="152"/>
      <c r="DP209" s="152"/>
      <c r="DQ209" s="152"/>
      <c r="DR209" s="152"/>
      <c r="DS209" s="152"/>
      <c r="DT209" s="152"/>
      <c r="DU209" s="152"/>
      <c r="DV209" s="152"/>
      <c r="DW209" s="152"/>
      <c r="DX209" s="152"/>
      <c r="DY209" s="152"/>
      <c r="DZ209" s="152"/>
      <c r="EA209" s="152"/>
      <c r="EB209" s="152"/>
      <c r="EC209" s="152"/>
      <c r="ED209" s="152"/>
      <c r="EE209" s="152"/>
      <c r="EF209" s="152"/>
      <c r="EG209" s="152"/>
      <c r="EH209" s="152"/>
      <c r="EI209" s="152"/>
      <c r="EJ209" s="152"/>
      <c r="EK209" s="152"/>
      <c r="EL209" s="152"/>
      <c r="EM209" s="152"/>
      <c r="EN209" s="152"/>
      <c r="EO209" s="152"/>
      <c r="EP209" s="152"/>
      <c r="EQ209" s="152"/>
      <c r="ER209" s="152"/>
      <c r="ES209" s="152"/>
      <c r="ET209" s="152"/>
      <c r="EU209" s="152"/>
      <c r="EV209" s="152"/>
      <c r="EW209" s="152"/>
      <c r="EX209" s="152"/>
      <c r="EY209" s="152"/>
      <c r="EZ209" s="152"/>
      <c r="FA209" s="152"/>
      <c r="FB209" s="152"/>
      <c r="FC209" s="152"/>
      <c r="FD209" s="152"/>
      <c r="FE209" s="152"/>
      <c r="FF209" s="152"/>
      <c r="FG209" s="152"/>
      <c r="FH209" s="152"/>
      <c r="FI209" s="152"/>
      <c r="FJ209" s="152"/>
      <c r="FK209" s="152"/>
      <c r="FL209" s="152"/>
      <c r="FM209" s="152"/>
      <c r="FN209" s="152"/>
      <c r="FO209" s="152"/>
      <c r="FP209" s="152"/>
      <c r="FQ209" s="152"/>
      <c r="FR209" s="152"/>
      <c r="FS209" s="152"/>
      <c r="FT209" s="152"/>
      <c r="FU209" s="152"/>
      <c r="FV209" s="152"/>
      <c r="FW209" s="152"/>
      <c r="FX209" s="152"/>
    </row>
    <row r="210" spans="1:180" s="150" customFormat="1" ht="43.5" customHeight="1" thickTop="1" thickBot="1" x14ac:dyDescent="0.3">
      <c r="A210" s="307" t="s">
        <v>2482</v>
      </c>
      <c r="B210" s="625" t="s">
        <v>2545</v>
      </c>
      <c r="C210" s="413" t="s">
        <v>53</v>
      </c>
      <c r="D210" s="418">
        <v>3</v>
      </c>
      <c r="E210" s="418">
        <v>30</v>
      </c>
      <c r="F210" s="418">
        <v>3</v>
      </c>
      <c r="G210" s="418">
        <v>520</v>
      </c>
      <c r="H210" s="483">
        <v>12350000</v>
      </c>
      <c r="I210" s="483">
        <v>12250000</v>
      </c>
      <c r="J210" s="416" t="s">
        <v>1115</v>
      </c>
      <c r="K210" s="418" t="s">
        <v>13</v>
      </c>
      <c r="L210" s="417">
        <v>1</v>
      </c>
      <c r="M210" s="417">
        <v>1</v>
      </c>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152"/>
      <c r="BP210" s="152"/>
      <c r="BQ210" s="152"/>
      <c r="BR210" s="152"/>
      <c r="BS210" s="152"/>
      <c r="BT210" s="152"/>
      <c r="BU210" s="152"/>
      <c r="BV210" s="152"/>
      <c r="BW210" s="152"/>
      <c r="BX210" s="152"/>
      <c r="BY210" s="152"/>
      <c r="BZ210" s="152"/>
      <c r="CA210" s="152"/>
      <c r="CB210" s="152"/>
      <c r="CC210" s="152"/>
      <c r="CD210" s="152"/>
      <c r="CE210" s="152"/>
      <c r="CF210" s="152"/>
      <c r="CG210" s="152"/>
      <c r="CH210" s="152"/>
      <c r="CI210" s="152"/>
      <c r="CJ210" s="152"/>
      <c r="CK210" s="152"/>
      <c r="CL210" s="152"/>
      <c r="CM210" s="152"/>
      <c r="CN210" s="152"/>
      <c r="CO210" s="152"/>
      <c r="CP210" s="152"/>
      <c r="CQ210" s="152"/>
      <c r="CR210" s="152"/>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c r="DW210" s="152"/>
      <c r="DX210" s="152"/>
      <c r="DY210" s="152"/>
      <c r="DZ210" s="152"/>
      <c r="EA210" s="152"/>
      <c r="EB210" s="152"/>
      <c r="EC210" s="152"/>
      <c r="ED210" s="152"/>
      <c r="EE210" s="152"/>
      <c r="EF210" s="152"/>
      <c r="EG210" s="152"/>
      <c r="EH210" s="152"/>
      <c r="EI210" s="152"/>
      <c r="EJ210" s="152"/>
      <c r="EK210" s="152"/>
      <c r="EL210" s="152"/>
      <c r="EM210" s="152"/>
      <c r="EN210" s="152"/>
      <c r="EO210" s="152"/>
      <c r="EP210" s="152"/>
      <c r="EQ210" s="152"/>
      <c r="ER210" s="152"/>
      <c r="ES210" s="152"/>
      <c r="ET210" s="152"/>
      <c r="EU210" s="152"/>
      <c r="EV210" s="152"/>
      <c r="EW210" s="152"/>
      <c r="EX210" s="152"/>
      <c r="EY210" s="152"/>
      <c r="EZ210" s="152"/>
      <c r="FA210" s="152"/>
      <c r="FB210" s="152"/>
      <c r="FC210" s="152"/>
      <c r="FD210" s="152"/>
      <c r="FE210" s="152"/>
      <c r="FF210" s="152"/>
      <c r="FG210" s="152"/>
      <c r="FH210" s="152"/>
      <c r="FI210" s="152"/>
      <c r="FJ210" s="152"/>
      <c r="FK210" s="152"/>
      <c r="FL210" s="152"/>
      <c r="FM210" s="152"/>
      <c r="FN210" s="152"/>
      <c r="FO210" s="152"/>
      <c r="FP210" s="152"/>
      <c r="FQ210" s="152"/>
      <c r="FR210" s="152"/>
      <c r="FS210" s="152"/>
      <c r="FT210" s="152"/>
      <c r="FU210" s="152"/>
      <c r="FV210" s="152"/>
      <c r="FW210" s="152"/>
      <c r="FX210" s="152"/>
    </row>
    <row r="211" spans="1:180" s="150" customFormat="1" ht="52.5" customHeight="1" thickTop="1" thickBot="1" x14ac:dyDescent="0.3">
      <c r="A211" s="307" t="s">
        <v>2482</v>
      </c>
      <c r="B211" s="625" t="s">
        <v>2545</v>
      </c>
      <c r="C211" s="413" t="s">
        <v>53</v>
      </c>
      <c r="D211" s="418">
        <v>3</v>
      </c>
      <c r="E211" s="418">
        <v>30</v>
      </c>
      <c r="F211" s="418">
        <v>3</v>
      </c>
      <c r="G211" s="418">
        <v>520</v>
      </c>
      <c r="H211" s="483">
        <v>88155986</v>
      </c>
      <c r="I211" s="483">
        <v>88155986</v>
      </c>
      <c r="J211" s="416" t="s">
        <v>1116</v>
      </c>
      <c r="K211" s="418" t="s">
        <v>1462</v>
      </c>
      <c r="L211" s="417">
        <v>1</v>
      </c>
      <c r="M211" s="417">
        <v>1</v>
      </c>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152"/>
      <c r="BP211" s="152"/>
      <c r="BQ211" s="152"/>
      <c r="BR211" s="152"/>
      <c r="BS211" s="152"/>
      <c r="BT211" s="152"/>
      <c r="BU211" s="152"/>
      <c r="BV211" s="152"/>
      <c r="BW211" s="152"/>
      <c r="BX211" s="152"/>
      <c r="BY211" s="152"/>
      <c r="BZ211" s="152"/>
      <c r="CA211" s="152"/>
      <c r="CB211" s="152"/>
      <c r="CC211" s="152"/>
      <c r="CD211" s="152"/>
      <c r="CE211" s="152"/>
      <c r="CF211" s="152"/>
      <c r="CG211" s="152"/>
      <c r="CH211" s="152"/>
      <c r="CI211" s="152"/>
      <c r="CJ211" s="152"/>
      <c r="CK211" s="152"/>
      <c r="CL211" s="152"/>
      <c r="CM211" s="152"/>
      <c r="CN211" s="152"/>
      <c r="CO211" s="152"/>
      <c r="CP211" s="152"/>
      <c r="CQ211" s="152"/>
      <c r="CR211" s="152"/>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c r="DW211" s="152"/>
      <c r="DX211" s="152"/>
      <c r="DY211" s="152"/>
      <c r="DZ211" s="152"/>
      <c r="EA211" s="152"/>
      <c r="EB211" s="152"/>
      <c r="EC211" s="152"/>
      <c r="ED211" s="152"/>
      <c r="EE211" s="152"/>
      <c r="EF211" s="152"/>
      <c r="EG211" s="152"/>
      <c r="EH211" s="152"/>
      <c r="EI211" s="152"/>
      <c r="EJ211" s="152"/>
      <c r="EK211" s="152"/>
      <c r="EL211" s="152"/>
      <c r="EM211" s="152"/>
      <c r="EN211" s="152"/>
      <c r="EO211" s="152"/>
      <c r="EP211" s="152"/>
      <c r="EQ211" s="152"/>
      <c r="ER211" s="152"/>
      <c r="ES211" s="152"/>
      <c r="ET211" s="152"/>
      <c r="EU211" s="152"/>
      <c r="EV211" s="152"/>
      <c r="EW211" s="152"/>
      <c r="EX211" s="152"/>
      <c r="EY211" s="152"/>
      <c r="EZ211" s="152"/>
      <c r="FA211" s="152"/>
      <c r="FB211" s="152"/>
      <c r="FC211" s="152"/>
      <c r="FD211" s="152"/>
      <c r="FE211" s="152"/>
      <c r="FF211" s="152"/>
      <c r="FG211" s="152"/>
      <c r="FH211" s="152"/>
      <c r="FI211" s="152"/>
      <c r="FJ211" s="152"/>
      <c r="FK211" s="152"/>
      <c r="FL211" s="152"/>
      <c r="FM211" s="152"/>
      <c r="FN211" s="152"/>
      <c r="FO211" s="152"/>
      <c r="FP211" s="152"/>
      <c r="FQ211" s="152"/>
      <c r="FR211" s="152"/>
      <c r="FS211" s="152"/>
      <c r="FT211" s="152"/>
      <c r="FU211" s="152"/>
      <c r="FV211" s="152"/>
      <c r="FW211" s="152"/>
      <c r="FX211" s="152"/>
    </row>
    <row r="212" spans="1:180" s="150" customFormat="1" ht="52.5" customHeight="1" thickTop="1" thickBot="1" x14ac:dyDescent="0.3">
      <c r="A212" s="307" t="s">
        <v>2482</v>
      </c>
      <c r="B212" s="625" t="s">
        <v>2545</v>
      </c>
      <c r="C212" s="413" t="s">
        <v>53</v>
      </c>
      <c r="D212" s="418">
        <v>3</v>
      </c>
      <c r="E212" s="418">
        <v>30</v>
      </c>
      <c r="F212" s="418">
        <v>3</v>
      </c>
      <c r="G212" s="418">
        <v>520</v>
      </c>
      <c r="H212" s="483">
        <v>101891921</v>
      </c>
      <c r="I212" s="483">
        <v>99854728</v>
      </c>
      <c r="J212" s="416" t="s">
        <v>1117</v>
      </c>
      <c r="K212" s="418" t="s">
        <v>55</v>
      </c>
      <c r="L212" s="417">
        <v>1</v>
      </c>
      <c r="M212" s="417">
        <v>1</v>
      </c>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152"/>
      <c r="BP212" s="152"/>
      <c r="BQ212" s="152"/>
      <c r="BR212" s="152"/>
      <c r="BS212" s="152"/>
      <c r="BT212" s="152"/>
      <c r="BU212" s="152"/>
      <c r="BV212" s="152"/>
      <c r="BW212" s="152"/>
      <c r="BX212" s="152"/>
      <c r="BY212" s="152"/>
      <c r="BZ212" s="152"/>
      <c r="CA212" s="152"/>
      <c r="CB212" s="152"/>
      <c r="CC212" s="152"/>
      <c r="CD212" s="152"/>
      <c r="CE212" s="152"/>
      <c r="CF212" s="152"/>
      <c r="CG212" s="152"/>
      <c r="CH212" s="152"/>
      <c r="CI212" s="152"/>
      <c r="CJ212" s="152"/>
      <c r="CK212" s="152"/>
      <c r="CL212" s="152"/>
      <c r="CM212" s="152"/>
      <c r="CN212" s="152"/>
      <c r="CO212" s="152"/>
      <c r="CP212" s="152"/>
      <c r="CQ212" s="152"/>
      <c r="CR212" s="152"/>
      <c r="CS212" s="152"/>
      <c r="CT212" s="152"/>
      <c r="CU212" s="152"/>
      <c r="CV212" s="152"/>
      <c r="CW212" s="152"/>
      <c r="CX212" s="152"/>
      <c r="CY212" s="152"/>
      <c r="CZ212" s="152"/>
      <c r="DA212" s="152"/>
      <c r="DB212" s="152"/>
      <c r="DC212" s="152"/>
      <c r="DD212" s="152"/>
      <c r="DE212" s="152"/>
      <c r="DF212" s="152"/>
      <c r="DG212" s="152"/>
      <c r="DH212" s="152"/>
      <c r="DI212" s="152"/>
      <c r="DJ212" s="152"/>
      <c r="DK212" s="152"/>
      <c r="DL212" s="152"/>
      <c r="DM212" s="152"/>
      <c r="DN212" s="152"/>
      <c r="DO212" s="152"/>
      <c r="DP212" s="152"/>
      <c r="DQ212" s="152"/>
      <c r="DR212" s="152"/>
      <c r="DS212" s="152"/>
      <c r="DT212" s="152"/>
      <c r="DU212" s="152"/>
      <c r="DV212" s="152"/>
      <c r="DW212" s="152"/>
      <c r="DX212" s="152"/>
      <c r="DY212" s="152"/>
      <c r="DZ212" s="152"/>
      <c r="EA212" s="152"/>
      <c r="EB212" s="152"/>
      <c r="EC212" s="152"/>
      <c r="ED212" s="152"/>
      <c r="EE212" s="152"/>
      <c r="EF212" s="152"/>
      <c r="EG212" s="152"/>
      <c r="EH212" s="152"/>
      <c r="EI212" s="152"/>
      <c r="EJ212" s="152"/>
      <c r="EK212" s="152"/>
      <c r="EL212" s="152"/>
      <c r="EM212" s="152"/>
      <c r="EN212" s="152"/>
      <c r="EO212" s="152"/>
      <c r="EP212" s="152"/>
      <c r="EQ212" s="152"/>
      <c r="ER212" s="152"/>
      <c r="ES212" s="152"/>
      <c r="ET212" s="152"/>
      <c r="EU212" s="152"/>
      <c r="EV212" s="152"/>
      <c r="EW212" s="152"/>
      <c r="EX212" s="152"/>
      <c r="EY212" s="152"/>
      <c r="EZ212" s="152"/>
      <c r="FA212" s="152"/>
      <c r="FB212" s="152"/>
      <c r="FC212" s="152"/>
      <c r="FD212" s="152"/>
      <c r="FE212" s="152"/>
      <c r="FF212" s="152"/>
      <c r="FG212" s="152"/>
      <c r="FH212" s="152"/>
      <c r="FI212" s="152"/>
      <c r="FJ212" s="152"/>
      <c r="FK212" s="152"/>
      <c r="FL212" s="152"/>
      <c r="FM212" s="152"/>
      <c r="FN212" s="152"/>
      <c r="FO212" s="152"/>
      <c r="FP212" s="152"/>
      <c r="FQ212" s="152"/>
      <c r="FR212" s="152"/>
      <c r="FS212" s="152"/>
      <c r="FT212" s="152"/>
      <c r="FU212" s="152"/>
      <c r="FV212" s="152"/>
      <c r="FW212" s="152"/>
      <c r="FX212" s="152"/>
    </row>
    <row r="213" spans="1:180" s="150" customFormat="1" ht="52.5" customHeight="1" thickTop="1" thickBot="1" x14ac:dyDescent="0.3">
      <c r="A213" s="307" t="s">
        <v>2482</v>
      </c>
      <c r="B213" s="625" t="s">
        <v>2545</v>
      </c>
      <c r="C213" s="413" t="s">
        <v>53</v>
      </c>
      <c r="D213" s="418">
        <v>3</v>
      </c>
      <c r="E213" s="418">
        <v>30</v>
      </c>
      <c r="F213" s="418">
        <v>3</v>
      </c>
      <c r="G213" s="418">
        <v>520</v>
      </c>
      <c r="H213" s="483">
        <v>100000000</v>
      </c>
      <c r="I213" s="483">
        <v>0</v>
      </c>
      <c r="J213" s="416" t="s">
        <v>1118</v>
      </c>
      <c r="K213" s="418" t="s">
        <v>55</v>
      </c>
      <c r="L213" s="417">
        <v>1</v>
      </c>
      <c r="M213" s="417">
        <v>0</v>
      </c>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c r="BI213" s="152"/>
      <c r="BJ213" s="152"/>
      <c r="BK213" s="152"/>
      <c r="BL213" s="152"/>
      <c r="BM213" s="152"/>
      <c r="BN213" s="152"/>
      <c r="BO213" s="152"/>
      <c r="BP213" s="152"/>
      <c r="BQ213" s="152"/>
      <c r="BR213" s="152"/>
      <c r="BS213" s="152"/>
      <c r="BT213" s="152"/>
      <c r="BU213" s="152"/>
      <c r="BV213" s="152"/>
      <c r="BW213" s="152"/>
      <c r="BX213" s="152"/>
      <c r="BY213" s="152"/>
      <c r="BZ213" s="152"/>
      <c r="CA213" s="152"/>
      <c r="CB213" s="152"/>
      <c r="CC213" s="152"/>
      <c r="CD213" s="152"/>
      <c r="CE213" s="152"/>
      <c r="CF213" s="152"/>
      <c r="CG213" s="152"/>
      <c r="CH213" s="152"/>
      <c r="CI213" s="152"/>
      <c r="CJ213" s="152"/>
      <c r="CK213" s="152"/>
      <c r="CL213" s="152"/>
      <c r="CM213" s="152"/>
      <c r="CN213" s="152"/>
      <c r="CO213" s="152"/>
      <c r="CP213" s="152"/>
      <c r="CQ213" s="152"/>
      <c r="CR213" s="152"/>
      <c r="CS213" s="152"/>
      <c r="CT213" s="152"/>
      <c r="CU213" s="152"/>
      <c r="CV213" s="152"/>
      <c r="CW213" s="152"/>
      <c r="CX213" s="152"/>
      <c r="CY213" s="152"/>
      <c r="CZ213" s="152"/>
      <c r="DA213" s="152"/>
      <c r="DB213" s="152"/>
      <c r="DC213" s="152"/>
      <c r="DD213" s="152"/>
      <c r="DE213" s="152"/>
      <c r="DF213" s="152"/>
      <c r="DG213" s="152"/>
      <c r="DH213" s="152"/>
      <c r="DI213" s="152"/>
      <c r="DJ213" s="152"/>
      <c r="DK213" s="152"/>
      <c r="DL213" s="152"/>
      <c r="DM213" s="152"/>
      <c r="DN213" s="152"/>
      <c r="DO213" s="152"/>
      <c r="DP213" s="152"/>
      <c r="DQ213" s="152"/>
      <c r="DR213" s="152"/>
      <c r="DS213" s="152"/>
      <c r="DT213" s="152"/>
      <c r="DU213" s="152"/>
      <c r="DV213" s="152"/>
      <c r="DW213" s="152"/>
      <c r="DX213" s="152"/>
      <c r="DY213" s="152"/>
      <c r="DZ213" s="152"/>
      <c r="EA213" s="152"/>
      <c r="EB213" s="152"/>
      <c r="EC213" s="152"/>
      <c r="ED213" s="152"/>
      <c r="EE213" s="152"/>
      <c r="EF213" s="152"/>
      <c r="EG213" s="152"/>
      <c r="EH213" s="152"/>
      <c r="EI213" s="152"/>
      <c r="EJ213" s="152"/>
      <c r="EK213" s="152"/>
      <c r="EL213" s="152"/>
      <c r="EM213" s="152"/>
      <c r="EN213" s="152"/>
      <c r="EO213" s="152"/>
      <c r="EP213" s="152"/>
      <c r="EQ213" s="152"/>
      <c r="ER213" s="152"/>
      <c r="ES213" s="152"/>
      <c r="ET213" s="152"/>
      <c r="EU213" s="152"/>
      <c r="EV213" s="152"/>
      <c r="EW213" s="152"/>
      <c r="EX213" s="152"/>
      <c r="EY213" s="152"/>
      <c r="EZ213" s="152"/>
      <c r="FA213" s="152"/>
      <c r="FB213" s="152"/>
      <c r="FC213" s="152"/>
      <c r="FD213" s="152"/>
      <c r="FE213" s="152"/>
      <c r="FF213" s="152"/>
      <c r="FG213" s="152"/>
      <c r="FH213" s="152"/>
      <c r="FI213" s="152"/>
      <c r="FJ213" s="152"/>
      <c r="FK213" s="152"/>
      <c r="FL213" s="152"/>
      <c r="FM213" s="152"/>
      <c r="FN213" s="152"/>
      <c r="FO213" s="152"/>
      <c r="FP213" s="152"/>
      <c r="FQ213" s="152"/>
      <c r="FR213" s="152"/>
      <c r="FS213" s="152"/>
      <c r="FT213" s="152"/>
      <c r="FU213" s="152"/>
      <c r="FV213" s="152"/>
      <c r="FW213" s="152"/>
      <c r="FX213" s="152"/>
    </row>
    <row r="214" spans="1:180" s="150" customFormat="1" ht="52.5" customHeight="1" thickTop="1" thickBot="1" x14ac:dyDescent="0.3">
      <c r="A214" s="307" t="s">
        <v>2482</v>
      </c>
      <c r="B214" s="625" t="s">
        <v>2545</v>
      </c>
      <c r="C214" s="413" t="s">
        <v>53</v>
      </c>
      <c r="D214" s="418">
        <v>3</v>
      </c>
      <c r="E214" s="418">
        <v>30</v>
      </c>
      <c r="F214" s="418">
        <v>3</v>
      </c>
      <c r="G214" s="418">
        <v>520</v>
      </c>
      <c r="H214" s="483">
        <v>81069392</v>
      </c>
      <c r="I214" s="483">
        <v>81069392</v>
      </c>
      <c r="J214" s="416" t="s">
        <v>1119</v>
      </c>
      <c r="K214" s="418" t="s">
        <v>55</v>
      </c>
      <c r="L214" s="417">
        <v>1</v>
      </c>
      <c r="M214" s="417">
        <v>1</v>
      </c>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c r="BI214" s="152"/>
      <c r="BJ214" s="152"/>
      <c r="BK214" s="152"/>
      <c r="BL214" s="152"/>
      <c r="BM214" s="152"/>
      <c r="BN214" s="152"/>
      <c r="BO214" s="152"/>
      <c r="BP214" s="152"/>
      <c r="BQ214" s="152"/>
      <c r="BR214" s="152"/>
      <c r="BS214" s="152"/>
      <c r="BT214" s="152"/>
      <c r="BU214" s="152"/>
      <c r="BV214" s="152"/>
      <c r="BW214" s="152"/>
      <c r="BX214" s="152"/>
      <c r="BY214" s="152"/>
      <c r="BZ214" s="152"/>
      <c r="CA214" s="152"/>
      <c r="CB214" s="152"/>
      <c r="CC214" s="152"/>
      <c r="CD214" s="152"/>
      <c r="CE214" s="152"/>
      <c r="CF214" s="152"/>
      <c r="CG214" s="152"/>
      <c r="CH214" s="152"/>
      <c r="CI214" s="152"/>
      <c r="CJ214" s="152"/>
      <c r="CK214" s="152"/>
      <c r="CL214" s="152"/>
      <c r="CM214" s="152"/>
      <c r="CN214" s="152"/>
      <c r="CO214" s="152"/>
      <c r="CP214" s="152"/>
      <c r="CQ214" s="152"/>
      <c r="CR214" s="152"/>
      <c r="CS214" s="152"/>
      <c r="CT214" s="152"/>
      <c r="CU214" s="152"/>
      <c r="CV214" s="152"/>
      <c r="CW214" s="152"/>
      <c r="CX214" s="152"/>
      <c r="CY214" s="152"/>
      <c r="CZ214" s="152"/>
      <c r="DA214" s="152"/>
      <c r="DB214" s="152"/>
      <c r="DC214" s="152"/>
      <c r="DD214" s="152"/>
      <c r="DE214" s="152"/>
      <c r="DF214" s="152"/>
      <c r="DG214" s="152"/>
      <c r="DH214" s="152"/>
      <c r="DI214" s="152"/>
      <c r="DJ214" s="152"/>
      <c r="DK214" s="152"/>
      <c r="DL214" s="152"/>
      <c r="DM214" s="152"/>
      <c r="DN214" s="152"/>
      <c r="DO214" s="152"/>
      <c r="DP214" s="152"/>
      <c r="DQ214" s="152"/>
      <c r="DR214" s="152"/>
      <c r="DS214" s="152"/>
      <c r="DT214" s="152"/>
      <c r="DU214" s="152"/>
      <c r="DV214" s="152"/>
      <c r="DW214" s="152"/>
      <c r="DX214" s="152"/>
      <c r="DY214" s="152"/>
      <c r="DZ214" s="152"/>
      <c r="EA214" s="152"/>
      <c r="EB214" s="152"/>
      <c r="EC214" s="152"/>
      <c r="ED214" s="152"/>
      <c r="EE214" s="152"/>
      <c r="EF214" s="152"/>
      <c r="EG214" s="152"/>
      <c r="EH214" s="152"/>
      <c r="EI214" s="152"/>
      <c r="EJ214" s="152"/>
      <c r="EK214" s="152"/>
      <c r="EL214" s="152"/>
      <c r="EM214" s="152"/>
      <c r="EN214" s="152"/>
      <c r="EO214" s="152"/>
      <c r="EP214" s="152"/>
      <c r="EQ214" s="152"/>
      <c r="ER214" s="152"/>
      <c r="ES214" s="152"/>
      <c r="ET214" s="152"/>
      <c r="EU214" s="152"/>
      <c r="EV214" s="152"/>
      <c r="EW214" s="152"/>
      <c r="EX214" s="152"/>
      <c r="EY214" s="152"/>
      <c r="EZ214" s="152"/>
      <c r="FA214" s="152"/>
      <c r="FB214" s="152"/>
      <c r="FC214" s="152"/>
      <c r="FD214" s="152"/>
      <c r="FE214" s="152"/>
      <c r="FF214" s="152"/>
      <c r="FG214" s="152"/>
      <c r="FH214" s="152"/>
      <c r="FI214" s="152"/>
      <c r="FJ214" s="152"/>
      <c r="FK214" s="152"/>
      <c r="FL214" s="152"/>
      <c r="FM214" s="152"/>
      <c r="FN214" s="152"/>
      <c r="FO214" s="152"/>
      <c r="FP214" s="152"/>
      <c r="FQ214" s="152"/>
      <c r="FR214" s="152"/>
      <c r="FS214" s="152"/>
      <c r="FT214" s="152"/>
      <c r="FU214" s="152"/>
      <c r="FV214" s="152"/>
      <c r="FW214" s="152"/>
      <c r="FX214" s="152"/>
    </row>
    <row r="215" spans="1:180" s="150" customFormat="1" ht="52.5" customHeight="1" thickTop="1" thickBot="1" x14ac:dyDescent="0.3">
      <c r="A215" s="307" t="s">
        <v>2482</v>
      </c>
      <c r="B215" s="625" t="s">
        <v>2545</v>
      </c>
      <c r="C215" s="413" t="s">
        <v>53</v>
      </c>
      <c r="D215" s="418">
        <v>3</v>
      </c>
      <c r="E215" s="418">
        <v>30</v>
      </c>
      <c r="F215" s="418">
        <v>3</v>
      </c>
      <c r="G215" s="418">
        <v>520</v>
      </c>
      <c r="H215" s="483">
        <v>163816832</v>
      </c>
      <c r="I215" s="483">
        <v>60000000</v>
      </c>
      <c r="J215" s="416" t="s">
        <v>2122</v>
      </c>
      <c r="K215" s="418" t="s">
        <v>1462</v>
      </c>
      <c r="L215" s="417">
        <v>1</v>
      </c>
      <c r="M215" s="417">
        <v>0</v>
      </c>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c r="BI215" s="152"/>
      <c r="BJ215" s="152"/>
      <c r="BK215" s="152"/>
      <c r="BL215" s="152"/>
      <c r="BM215" s="152"/>
      <c r="BN215" s="152"/>
      <c r="BO215" s="152"/>
      <c r="BP215" s="152"/>
      <c r="BQ215" s="152"/>
      <c r="BR215" s="152"/>
      <c r="BS215" s="152"/>
      <c r="BT215" s="152"/>
      <c r="BU215" s="152"/>
      <c r="BV215" s="152"/>
      <c r="BW215" s="152"/>
      <c r="BX215" s="152"/>
      <c r="BY215" s="152"/>
      <c r="BZ215" s="152"/>
      <c r="CA215" s="152"/>
      <c r="CB215" s="152"/>
      <c r="CC215" s="152"/>
      <c r="CD215" s="152"/>
      <c r="CE215" s="152"/>
      <c r="CF215" s="152"/>
      <c r="CG215" s="152"/>
      <c r="CH215" s="152"/>
      <c r="CI215" s="152"/>
      <c r="CJ215" s="152"/>
      <c r="CK215" s="152"/>
      <c r="CL215" s="152"/>
      <c r="CM215" s="152"/>
      <c r="CN215" s="152"/>
      <c r="CO215" s="152"/>
      <c r="CP215" s="152"/>
      <c r="CQ215" s="152"/>
      <c r="CR215" s="152"/>
      <c r="CS215" s="152"/>
      <c r="CT215" s="152"/>
      <c r="CU215" s="152"/>
      <c r="CV215" s="152"/>
      <c r="CW215" s="152"/>
      <c r="CX215" s="152"/>
      <c r="CY215" s="152"/>
      <c r="CZ215" s="152"/>
      <c r="DA215" s="152"/>
      <c r="DB215" s="152"/>
      <c r="DC215" s="152"/>
      <c r="DD215" s="152"/>
      <c r="DE215" s="152"/>
      <c r="DF215" s="152"/>
      <c r="DG215" s="152"/>
      <c r="DH215" s="152"/>
      <c r="DI215" s="152"/>
      <c r="DJ215" s="152"/>
      <c r="DK215" s="152"/>
      <c r="DL215" s="152"/>
      <c r="DM215" s="152"/>
      <c r="DN215" s="152"/>
      <c r="DO215" s="152"/>
      <c r="DP215" s="152"/>
      <c r="DQ215" s="152"/>
      <c r="DR215" s="152"/>
      <c r="DS215" s="152"/>
      <c r="DT215" s="152"/>
      <c r="DU215" s="152"/>
      <c r="DV215" s="152"/>
      <c r="DW215" s="152"/>
      <c r="DX215" s="152"/>
      <c r="DY215" s="152"/>
      <c r="DZ215" s="152"/>
      <c r="EA215" s="152"/>
      <c r="EB215" s="152"/>
      <c r="EC215" s="152"/>
      <c r="ED215" s="152"/>
      <c r="EE215" s="152"/>
      <c r="EF215" s="152"/>
      <c r="EG215" s="152"/>
      <c r="EH215" s="152"/>
      <c r="EI215" s="152"/>
      <c r="EJ215" s="152"/>
      <c r="EK215" s="152"/>
      <c r="EL215" s="152"/>
      <c r="EM215" s="152"/>
      <c r="EN215" s="152"/>
      <c r="EO215" s="152"/>
      <c r="EP215" s="152"/>
      <c r="EQ215" s="152"/>
      <c r="ER215" s="152"/>
      <c r="ES215" s="152"/>
      <c r="ET215" s="152"/>
      <c r="EU215" s="152"/>
      <c r="EV215" s="152"/>
      <c r="EW215" s="152"/>
      <c r="EX215" s="152"/>
      <c r="EY215" s="152"/>
      <c r="EZ215" s="152"/>
      <c r="FA215" s="152"/>
      <c r="FB215" s="152"/>
      <c r="FC215" s="152"/>
      <c r="FD215" s="152"/>
      <c r="FE215" s="152"/>
      <c r="FF215" s="152"/>
      <c r="FG215" s="152"/>
      <c r="FH215" s="152"/>
      <c r="FI215" s="152"/>
      <c r="FJ215" s="152"/>
      <c r="FK215" s="152"/>
      <c r="FL215" s="152"/>
      <c r="FM215" s="152"/>
      <c r="FN215" s="152"/>
      <c r="FO215" s="152"/>
      <c r="FP215" s="152"/>
      <c r="FQ215" s="152"/>
      <c r="FR215" s="152"/>
      <c r="FS215" s="152"/>
      <c r="FT215" s="152"/>
      <c r="FU215" s="152"/>
      <c r="FV215" s="152"/>
      <c r="FW215" s="152"/>
      <c r="FX215" s="152"/>
    </row>
    <row r="216" spans="1:180" s="150" customFormat="1" ht="52.5" customHeight="1" thickTop="1" thickBot="1" x14ac:dyDescent="0.3">
      <c r="A216" s="307" t="s">
        <v>2482</v>
      </c>
      <c r="B216" s="625" t="s">
        <v>2545</v>
      </c>
      <c r="C216" s="413" t="s">
        <v>53</v>
      </c>
      <c r="D216" s="418">
        <v>3</v>
      </c>
      <c r="E216" s="418">
        <v>30</v>
      </c>
      <c r="F216" s="418">
        <v>3</v>
      </c>
      <c r="G216" s="418">
        <v>520</v>
      </c>
      <c r="H216" s="483">
        <v>47836240</v>
      </c>
      <c r="I216" s="483">
        <v>20000000</v>
      </c>
      <c r="J216" s="416" t="s">
        <v>1120</v>
      </c>
      <c r="K216" s="418" t="s">
        <v>25</v>
      </c>
      <c r="L216" s="417">
        <v>1</v>
      </c>
      <c r="M216" s="417">
        <v>0</v>
      </c>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c r="BU216" s="152"/>
      <c r="BV216" s="152"/>
      <c r="BW216" s="152"/>
      <c r="BX216" s="152"/>
      <c r="BY216" s="152"/>
      <c r="BZ216" s="152"/>
      <c r="CA216" s="152"/>
      <c r="CB216" s="152"/>
      <c r="CC216" s="152"/>
      <c r="CD216" s="152"/>
      <c r="CE216" s="152"/>
      <c r="CF216" s="152"/>
      <c r="CG216" s="152"/>
      <c r="CH216" s="152"/>
      <c r="CI216" s="152"/>
      <c r="CJ216" s="152"/>
      <c r="CK216" s="152"/>
      <c r="CL216" s="152"/>
      <c r="CM216" s="152"/>
      <c r="CN216" s="152"/>
      <c r="CO216" s="152"/>
      <c r="CP216" s="152"/>
      <c r="CQ216" s="152"/>
      <c r="CR216" s="152"/>
      <c r="CS216" s="152"/>
      <c r="CT216" s="152"/>
      <c r="CU216" s="152"/>
      <c r="CV216" s="152"/>
      <c r="CW216" s="152"/>
      <c r="CX216" s="152"/>
      <c r="CY216" s="152"/>
      <c r="CZ216" s="152"/>
      <c r="DA216" s="152"/>
      <c r="DB216" s="152"/>
      <c r="DC216" s="152"/>
      <c r="DD216" s="152"/>
      <c r="DE216" s="152"/>
      <c r="DF216" s="152"/>
      <c r="DG216" s="152"/>
      <c r="DH216" s="152"/>
      <c r="DI216" s="152"/>
      <c r="DJ216" s="152"/>
      <c r="DK216" s="152"/>
      <c r="DL216" s="152"/>
      <c r="DM216" s="152"/>
      <c r="DN216" s="152"/>
      <c r="DO216" s="152"/>
      <c r="DP216" s="152"/>
      <c r="DQ216" s="152"/>
      <c r="DR216" s="152"/>
      <c r="DS216" s="152"/>
      <c r="DT216" s="152"/>
      <c r="DU216" s="152"/>
      <c r="DV216" s="152"/>
      <c r="DW216" s="152"/>
      <c r="DX216" s="152"/>
      <c r="DY216" s="152"/>
      <c r="DZ216" s="152"/>
      <c r="EA216" s="152"/>
      <c r="EB216" s="152"/>
      <c r="EC216" s="152"/>
      <c r="ED216" s="152"/>
      <c r="EE216" s="152"/>
      <c r="EF216" s="152"/>
      <c r="EG216" s="152"/>
      <c r="EH216" s="152"/>
      <c r="EI216" s="152"/>
      <c r="EJ216" s="152"/>
      <c r="EK216" s="152"/>
      <c r="EL216" s="152"/>
      <c r="EM216" s="152"/>
      <c r="EN216" s="152"/>
      <c r="EO216" s="152"/>
      <c r="EP216" s="152"/>
      <c r="EQ216" s="152"/>
      <c r="ER216" s="152"/>
      <c r="ES216" s="152"/>
      <c r="ET216" s="152"/>
      <c r="EU216" s="152"/>
      <c r="EV216" s="152"/>
      <c r="EW216" s="152"/>
      <c r="EX216" s="152"/>
      <c r="EY216" s="152"/>
      <c r="EZ216" s="152"/>
      <c r="FA216" s="152"/>
      <c r="FB216" s="152"/>
      <c r="FC216" s="152"/>
      <c r="FD216" s="152"/>
      <c r="FE216" s="152"/>
      <c r="FF216" s="152"/>
      <c r="FG216" s="152"/>
      <c r="FH216" s="152"/>
      <c r="FI216" s="152"/>
      <c r="FJ216" s="152"/>
      <c r="FK216" s="152"/>
      <c r="FL216" s="152"/>
      <c r="FM216" s="152"/>
      <c r="FN216" s="152"/>
      <c r="FO216" s="152"/>
      <c r="FP216" s="152"/>
      <c r="FQ216" s="152"/>
      <c r="FR216" s="152"/>
      <c r="FS216" s="152"/>
      <c r="FT216" s="152"/>
      <c r="FU216" s="152"/>
      <c r="FV216" s="152"/>
      <c r="FW216" s="152"/>
      <c r="FX216" s="152"/>
    </row>
    <row r="217" spans="1:180" s="150" customFormat="1" ht="52.5" customHeight="1" thickTop="1" thickBot="1" x14ac:dyDescent="0.3">
      <c r="A217" s="307" t="s">
        <v>2482</v>
      </c>
      <c r="B217" s="625" t="s">
        <v>2545</v>
      </c>
      <c r="C217" s="413" t="s">
        <v>53</v>
      </c>
      <c r="D217" s="418">
        <v>3</v>
      </c>
      <c r="E217" s="418">
        <v>30</v>
      </c>
      <c r="F217" s="418">
        <v>3</v>
      </c>
      <c r="G217" s="418">
        <v>520</v>
      </c>
      <c r="H217" s="483">
        <v>180710070</v>
      </c>
      <c r="I217" s="483">
        <v>70000000</v>
      </c>
      <c r="J217" s="416" t="s">
        <v>1121</v>
      </c>
      <c r="K217" s="418" t="s">
        <v>13</v>
      </c>
      <c r="L217" s="417">
        <v>1</v>
      </c>
      <c r="M217" s="417">
        <v>0</v>
      </c>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c r="BI217" s="152"/>
      <c r="BJ217" s="152"/>
      <c r="BK217" s="152"/>
      <c r="BL217" s="152"/>
      <c r="BM217" s="152"/>
      <c r="BN217" s="152"/>
      <c r="BO217" s="152"/>
      <c r="BP217" s="152"/>
      <c r="BQ217" s="152"/>
      <c r="BR217" s="152"/>
      <c r="BS217" s="152"/>
      <c r="BT217" s="152"/>
      <c r="BU217" s="152"/>
      <c r="BV217" s="152"/>
      <c r="BW217" s="152"/>
      <c r="BX217" s="152"/>
      <c r="BY217" s="152"/>
      <c r="BZ217" s="152"/>
      <c r="CA217" s="152"/>
      <c r="CB217" s="152"/>
      <c r="CC217" s="152"/>
      <c r="CD217" s="152"/>
      <c r="CE217" s="152"/>
      <c r="CF217" s="152"/>
      <c r="CG217" s="152"/>
      <c r="CH217" s="152"/>
      <c r="CI217" s="152"/>
      <c r="CJ217" s="152"/>
      <c r="CK217" s="152"/>
      <c r="CL217" s="152"/>
      <c r="CM217" s="152"/>
      <c r="CN217" s="152"/>
      <c r="CO217" s="152"/>
      <c r="CP217" s="152"/>
      <c r="CQ217" s="152"/>
      <c r="CR217" s="152"/>
      <c r="CS217" s="152"/>
      <c r="CT217" s="152"/>
      <c r="CU217" s="152"/>
      <c r="CV217" s="152"/>
      <c r="CW217" s="152"/>
      <c r="CX217" s="152"/>
      <c r="CY217" s="152"/>
      <c r="CZ217" s="152"/>
      <c r="DA217" s="152"/>
      <c r="DB217" s="152"/>
      <c r="DC217" s="152"/>
      <c r="DD217" s="152"/>
      <c r="DE217" s="152"/>
      <c r="DF217" s="152"/>
      <c r="DG217" s="152"/>
      <c r="DH217" s="152"/>
      <c r="DI217" s="152"/>
      <c r="DJ217" s="152"/>
      <c r="DK217" s="152"/>
      <c r="DL217" s="152"/>
      <c r="DM217" s="152"/>
      <c r="DN217" s="152"/>
      <c r="DO217" s="152"/>
      <c r="DP217" s="152"/>
      <c r="DQ217" s="152"/>
      <c r="DR217" s="152"/>
      <c r="DS217" s="152"/>
      <c r="DT217" s="152"/>
      <c r="DU217" s="152"/>
      <c r="DV217" s="152"/>
      <c r="DW217" s="152"/>
      <c r="DX217" s="152"/>
      <c r="DY217" s="152"/>
      <c r="DZ217" s="152"/>
      <c r="EA217" s="152"/>
      <c r="EB217" s="152"/>
      <c r="EC217" s="152"/>
      <c r="ED217" s="152"/>
      <c r="EE217" s="152"/>
      <c r="EF217" s="152"/>
      <c r="EG217" s="152"/>
      <c r="EH217" s="152"/>
      <c r="EI217" s="152"/>
      <c r="EJ217" s="152"/>
      <c r="EK217" s="152"/>
      <c r="EL217" s="152"/>
      <c r="EM217" s="152"/>
      <c r="EN217" s="152"/>
      <c r="EO217" s="152"/>
      <c r="EP217" s="152"/>
      <c r="EQ217" s="152"/>
      <c r="ER217" s="152"/>
      <c r="ES217" s="152"/>
      <c r="ET217" s="152"/>
      <c r="EU217" s="152"/>
      <c r="EV217" s="152"/>
      <c r="EW217" s="152"/>
      <c r="EX217" s="152"/>
      <c r="EY217" s="152"/>
      <c r="EZ217" s="152"/>
      <c r="FA217" s="152"/>
      <c r="FB217" s="152"/>
      <c r="FC217" s="152"/>
      <c r="FD217" s="152"/>
      <c r="FE217" s="152"/>
      <c r="FF217" s="152"/>
      <c r="FG217" s="152"/>
      <c r="FH217" s="152"/>
      <c r="FI217" s="152"/>
      <c r="FJ217" s="152"/>
      <c r="FK217" s="152"/>
      <c r="FL217" s="152"/>
      <c r="FM217" s="152"/>
      <c r="FN217" s="152"/>
      <c r="FO217" s="152"/>
      <c r="FP217" s="152"/>
      <c r="FQ217" s="152"/>
      <c r="FR217" s="152"/>
      <c r="FS217" s="152"/>
      <c r="FT217" s="152"/>
      <c r="FU217" s="152"/>
      <c r="FV217" s="152"/>
      <c r="FW217" s="152"/>
      <c r="FX217" s="152"/>
    </row>
    <row r="218" spans="1:180" s="150" customFormat="1" ht="51.75" customHeight="1" thickTop="1" thickBot="1" x14ac:dyDescent="0.3">
      <c r="A218" s="307" t="s">
        <v>2482</v>
      </c>
      <c r="B218" s="625" t="s">
        <v>2545</v>
      </c>
      <c r="C218" s="651" t="s">
        <v>18</v>
      </c>
      <c r="D218" s="659">
        <v>3</v>
      </c>
      <c r="E218" s="659">
        <v>30</v>
      </c>
      <c r="F218" s="659">
        <v>3</v>
      </c>
      <c r="G218" s="659">
        <v>848</v>
      </c>
      <c r="H218" s="483">
        <v>502596809</v>
      </c>
      <c r="I218" s="483">
        <v>334854000</v>
      </c>
      <c r="J218" s="416" t="s">
        <v>1122</v>
      </c>
      <c r="K218" s="418" t="s">
        <v>75</v>
      </c>
      <c r="L218" s="417">
        <v>31210</v>
      </c>
      <c r="M218" s="417">
        <v>23290</v>
      </c>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c r="BI218" s="152"/>
      <c r="BJ218" s="152"/>
      <c r="BK218" s="152"/>
      <c r="BL218" s="152"/>
      <c r="BM218" s="152"/>
      <c r="BN218" s="152"/>
      <c r="BO218" s="152"/>
      <c r="BP218" s="152"/>
      <c r="BQ218" s="152"/>
      <c r="BR218" s="152"/>
      <c r="BS218" s="152"/>
      <c r="BT218" s="152"/>
      <c r="BU218" s="152"/>
      <c r="BV218" s="152"/>
      <c r="BW218" s="152"/>
      <c r="BX218" s="152"/>
      <c r="BY218" s="152"/>
      <c r="BZ218" s="152"/>
      <c r="CA218" s="152"/>
      <c r="CB218" s="152"/>
      <c r="CC218" s="152"/>
      <c r="CD218" s="152"/>
      <c r="CE218" s="152"/>
      <c r="CF218" s="152"/>
      <c r="CG218" s="152"/>
      <c r="CH218" s="152"/>
      <c r="CI218" s="152"/>
      <c r="CJ218" s="152"/>
      <c r="CK218" s="152"/>
      <c r="CL218" s="152"/>
      <c r="CM218" s="152"/>
      <c r="CN218" s="152"/>
      <c r="CO218" s="152"/>
      <c r="CP218" s="152"/>
      <c r="CQ218" s="152"/>
      <c r="CR218" s="152"/>
      <c r="CS218" s="152"/>
      <c r="CT218" s="152"/>
      <c r="CU218" s="152"/>
      <c r="CV218" s="152"/>
      <c r="CW218" s="152"/>
      <c r="CX218" s="152"/>
      <c r="CY218" s="152"/>
      <c r="CZ218" s="152"/>
      <c r="DA218" s="152"/>
      <c r="DB218" s="152"/>
      <c r="DC218" s="152"/>
      <c r="DD218" s="152"/>
      <c r="DE218" s="152"/>
      <c r="DF218" s="152"/>
      <c r="DG218" s="152"/>
      <c r="DH218" s="152"/>
      <c r="DI218" s="152"/>
      <c r="DJ218" s="152"/>
      <c r="DK218" s="152"/>
      <c r="DL218" s="152"/>
      <c r="DM218" s="152"/>
      <c r="DN218" s="152"/>
      <c r="DO218" s="152"/>
      <c r="DP218" s="152"/>
      <c r="DQ218" s="152"/>
      <c r="DR218" s="152"/>
      <c r="DS218" s="152"/>
      <c r="DT218" s="152"/>
      <c r="DU218" s="152"/>
      <c r="DV218" s="152"/>
      <c r="DW218" s="152"/>
      <c r="DX218" s="152"/>
      <c r="DY218" s="152"/>
      <c r="DZ218" s="152"/>
      <c r="EA218" s="152"/>
      <c r="EB218" s="152"/>
      <c r="EC218" s="152"/>
      <c r="ED218" s="152"/>
      <c r="EE218" s="152"/>
      <c r="EF218" s="152"/>
      <c r="EG218" s="152"/>
      <c r="EH218" s="152"/>
      <c r="EI218" s="152"/>
      <c r="EJ218" s="152"/>
      <c r="EK218" s="152"/>
      <c r="EL218" s="152"/>
      <c r="EM218" s="152"/>
      <c r="EN218" s="152"/>
      <c r="EO218" s="152"/>
      <c r="EP218" s="152"/>
      <c r="EQ218" s="152"/>
      <c r="ER218" s="152"/>
      <c r="ES218" s="152"/>
      <c r="ET218" s="152"/>
      <c r="EU218" s="152"/>
      <c r="EV218" s="152"/>
      <c r="EW218" s="152"/>
      <c r="EX218" s="152"/>
      <c r="EY218" s="152"/>
      <c r="EZ218" s="152"/>
      <c r="FA218" s="152"/>
      <c r="FB218" s="152"/>
      <c r="FC218" s="152"/>
      <c r="FD218" s="152"/>
      <c r="FE218" s="152"/>
      <c r="FF218" s="152"/>
      <c r="FG218" s="152"/>
      <c r="FH218" s="152"/>
      <c r="FI218" s="152"/>
      <c r="FJ218" s="152"/>
      <c r="FK218" s="152"/>
      <c r="FL218" s="152"/>
      <c r="FM218" s="152"/>
      <c r="FN218" s="152"/>
      <c r="FO218" s="152"/>
      <c r="FP218" s="152"/>
      <c r="FQ218" s="152"/>
      <c r="FR218" s="152"/>
      <c r="FS218" s="152"/>
      <c r="FT218" s="152"/>
      <c r="FU218" s="152"/>
      <c r="FV218" s="152"/>
      <c r="FW218" s="152"/>
      <c r="FX218" s="152"/>
    </row>
    <row r="219" spans="1:180" s="150" customFormat="1" ht="51.75" customHeight="1" thickTop="1" thickBot="1" x14ac:dyDescent="0.3">
      <c r="A219" s="307" t="s">
        <v>2482</v>
      </c>
      <c r="B219" s="625" t="s">
        <v>2545</v>
      </c>
      <c r="C219" s="652"/>
      <c r="D219" s="659"/>
      <c r="E219" s="659"/>
      <c r="F219" s="659"/>
      <c r="G219" s="659"/>
      <c r="H219" s="483"/>
      <c r="I219" s="483"/>
      <c r="J219" s="416" t="s">
        <v>1123</v>
      </c>
      <c r="K219" s="418" t="s">
        <v>20</v>
      </c>
      <c r="L219" s="417">
        <v>440</v>
      </c>
      <c r="M219" s="417">
        <v>440</v>
      </c>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c r="BI219" s="152"/>
      <c r="BJ219" s="152"/>
      <c r="BK219" s="152"/>
      <c r="BL219" s="152"/>
      <c r="BM219" s="152"/>
      <c r="BN219" s="152"/>
      <c r="BO219" s="152"/>
      <c r="BP219" s="152"/>
      <c r="BQ219" s="152"/>
      <c r="BR219" s="152"/>
      <c r="BS219" s="152"/>
      <c r="BT219" s="152"/>
      <c r="BU219" s="152"/>
      <c r="BV219" s="152"/>
      <c r="BW219" s="152"/>
      <c r="BX219" s="152"/>
      <c r="BY219" s="152"/>
      <c r="BZ219" s="152"/>
      <c r="CA219" s="152"/>
      <c r="CB219" s="152"/>
      <c r="CC219" s="152"/>
      <c r="CD219" s="152"/>
      <c r="CE219" s="152"/>
      <c r="CF219" s="152"/>
      <c r="CG219" s="152"/>
      <c r="CH219" s="152"/>
      <c r="CI219" s="152"/>
      <c r="CJ219" s="152"/>
      <c r="CK219" s="152"/>
      <c r="CL219" s="152"/>
      <c r="CM219" s="152"/>
      <c r="CN219" s="152"/>
      <c r="CO219" s="152"/>
      <c r="CP219" s="152"/>
      <c r="CQ219" s="152"/>
      <c r="CR219" s="152"/>
      <c r="CS219" s="152"/>
      <c r="CT219" s="152"/>
      <c r="CU219" s="152"/>
      <c r="CV219" s="152"/>
      <c r="CW219" s="152"/>
      <c r="CX219" s="152"/>
      <c r="CY219" s="152"/>
      <c r="CZ219" s="152"/>
      <c r="DA219" s="152"/>
      <c r="DB219" s="152"/>
      <c r="DC219" s="152"/>
      <c r="DD219" s="152"/>
      <c r="DE219" s="152"/>
      <c r="DF219" s="152"/>
      <c r="DG219" s="152"/>
      <c r="DH219" s="152"/>
      <c r="DI219" s="152"/>
      <c r="DJ219" s="152"/>
      <c r="DK219" s="152"/>
      <c r="DL219" s="152"/>
      <c r="DM219" s="152"/>
      <c r="DN219" s="152"/>
      <c r="DO219" s="152"/>
      <c r="DP219" s="152"/>
      <c r="DQ219" s="152"/>
      <c r="DR219" s="152"/>
      <c r="DS219" s="152"/>
      <c r="DT219" s="152"/>
      <c r="DU219" s="152"/>
      <c r="DV219" s="152"/>
      <c r="DW219" s="152"/>
      <c r="DX219" s="152"/>
      <c r="DY219" s="152"/>
      <c r="DZ219" s="152"/>
      <c r="EA219" s="152"/>
      <c r="EB219" s="152"/>
      <c r="EC219" s="152"/>
      <c r="ED219" s="152"/>
      <c r="EE219" s="152"/>
      <c r="EF219" s="152"/>
      <c r="EG219" s="152"/>
      <c r="EH219" s="152"/>
      <c r="EI219" s="152"/>
      <c r="EJ219" s="152"/>
      <c r="EK219" s="152"/>
      <c r="EL219" s="152"/>
      <c r="EM219" s="152"/>
      <c r="EN219" s="152"/>
      <c r="EO219" s="152"/>
      <c r="EP219" s="152"/>
      <c r="EQ219" s="152"/>
      <c r="ER219" s="152"/>
      <c r="ES219" s="152"/>
      <c r="ET219" s="152"/>
      <c r="EU219" s="152"/>
      <c r="EV219" s="152"/>
      <c r="EW219" s="152"/>
      <c r="EX219" s="152"/>
      <c r="EY219" s="152"/>
      <c r="EZ219" s="152"/>
      <c r="FA219" s="152"/>
      <c r="FB219" s="152"/>
      <c r="FC219" s="152"/>
      <c r="FD219" s="152"/>
      <c r="FE219" s="152"/>
      <c r="FF219" s="152"/>
      <c r="FG219" s="152"/>
      <c r="FH219" s="152"/>
      <c r="FI219" s="152"/>
      <c r="FJ219" s="152"/>
      <c r="FK219" s="152"/>
      <c r="FL219" s="152"/>
      <c r="FM219" s="152"/>
      <c r="FN219" s="152"/>
      <c r="FO219" s="152"/>
      <c r="FP219" s="152"/>
      <c r="FQ219" s="152"/>
      <c r="FR219" s="152"/>
      <c r="FS219" s="152"/>
      <c r="FT219" s="152"/>
      <c r="FU219" s="152"/>
      <c r="FV219" s="152"/>
      <c r="FW219" s="152"/>
      <c r="FX219" s="152"/>
    </row>
    <row r="220" spans="1:180" s="150" customFormat="1" ht="71.25" customHeight="1" thickTop="1" thickBot="1" x14ac:dyDescent="0.3">
      <c r="A220" s="307" t="s">
        <v>2482</v>
      </c>
      <c r="B220" s="625" t="s">
        <v>2545</v>
      </c>
      <c r="C220" s="653"/>
      <c r="D220" s="418">
        <v>3</v>
      </c>
      <c r="E220" s="418">
        <v>30</v>
      </c>
      <c r="F220" s="418">
        <v>3</v>
      </c>
      <c r="G220" s="418">
        <v>960</v>
      </c>
      <c r="H220" s="483">
        <v>517937000</v>
      </c>
      <c r="I220" s="483">
        <v>517937000</v>
      </c>
      <c r="J220" s="416" t="s">
        <v>1124</v>
      </c>
      <c r="K220" s="418" t="s">
        <v>16</v>
      </c>
      <c r="L220" s="417">
        <v>1</v>
      </c>
      <c r="M220" s="417">
        <v>1</v>
      </c>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c r="BI220" s="152"/>
      <c r="BJ220" s="152"/>
      <c r="BK220" s="152"/>
      <c r="BL220" s="152"/>
      <c r="BM220" s="152"/>
      <c r="BN220" s="152"/>
      <c r="BO220" s="152"/>
      <c r="BP220" s="152"/>
      <c r="BQ220" s="152"/>
      <c r="BR220" s="152"/>
      <c r="BS220" s="152"/>
      <c r="BT220" s="152"/>
      <c r="BU220" s="152"/>
      <c r="BV220" s="152"/>
      <c r="BW220" s="152"/>
      <c r="BX220" s="152"/>
      <c r="BY220" s="152"/>
      <c r="BZ220" s="152"/>
      <c r="CA220" s="152"/>
      <c r="CB220" s="152"/>
      <c r="CC220" s="152"/>
      <c r="CD220" s="152"/>
      <c r="CE220" s="152"/>
      <c r="CF220" s="152"/>
      <c r="CG220" s="152"/>
      <c r="CH220" s="152"/>
      <c r="CI220" s="152"/>
      <c r="CJ220" s="152"/>
      <c r="CK220" s="152"/>
      <c r="CL220" s="152"/>
      <c r="CM220" s="152"/>
      <c r="CN220" s="152"/>
      <c r="CO220" s="152"/>
      <c r="CP220" s="152"/>
      <c r="CQ220" s="152"/>
      <c r="CR220" s="152"/>
      <c r="CS220" s="152"/>
      <c r="CT220" s="152"/>
      <c r="CU220" s="152"/>
      <c r="CV220" s="152"/>
      <c r="CW220" s="152"/>
      <c r="CX220" s="152"/>
      <c r="CY220" s="152"/>
      <c r="CZ220" s="152"/>
      <c r="DA220" s="152"/>
      <c r="DB220" s="152"/>
      <c r="DC220" s="152"/>
      <c r="DD220" s="152"/>
      <c r="DE220" s="152"/>
      <c r="DF220" s="152"/>
      <c r="DG220" s="152"/>
      <c r="DH220" s="152"/>
      <c r="DI220" s="152"/>
      <c r="DJ220" s="152"/>
      <c r="DK220" s="152"/>
      <c r="DL220" s="152"/>
      <c r="DM220" s="152"/>
      <c r="DN220" s="152"/>
      <c r="DO220" s="152"/>
      <c r="DP220" s="152"/>
      <c r="DQ220" s="152"/>
      <c r="DR220" s="152"/>
      <c r="DS220" s="152"/>
      <c r="DT220" s="152"/>
      <c r="DU220" s="152"/>
      <c r="DV220" s="152"/>
      <c r="DW220" s="152"/>
      <c r="DX220" s="152"/>
      <c r="DY220" s="152"/>
      <c r="DZ220" s="152"/>
      <c r="EA220" s="152"/>
      <c r="EB220" s="152"/>
      <c r="EC220" s="152"/>
      <c r="ED220" s="152"/>
      <c r="EE220" s="152"/>
      <c r="EF220" s="152"/>
      <c r="EG220" s="152"/>
      <c r="EH220" s="152"/>
      <c r="EI220" s="152"/>
      <c r="EJ220" s="152"/>
      <c r="EK220" s="152"/>
      <c r="EL220" s="152"/>
      <c r="EM220" s="152"/>
      <c r="EN220" s="152"/>
      <c r="EO220" s="152"/>
      <c r="EP220" s="152"/>
      <c r="EQ220" s="152"/>
      <c r="ER220" s="152"/>
      <c r="ES220" s="152"/>
      <c r="ET220" s="152"/>
      <c r="EU220" s="152"/>
      <c r="EV220" s="152"/>
      <c r="EW220" s="152"/>
      <c r="EX220" s="152"/>
      <c r="EY220" s="152"/>
      <c r="EZ220" s="152"/>
      <c r="FA220" s="152"/>
      <c r="FB220" s="152"/>
      <c r="FC220" s="152"/>
      <c r="FD220" s="152"/>
      <c r="FE220" s="152"/>
      <c r="FF220" s="152"/>
      <c r="FG220" s="152"/>
      <c r="FH220" s="152"/>
      <c r="FI220" s="152"/>
      <c r="FJ220" s="152"/>
      <c r="FK220" s="152"/>
      <c r="FL220" s="152"/>
      <c r="FM220" s="152"/>
      <c r="FN220" s="152"/>
      <c r="FO220" s="152"/>
      <c r="FP220" s="152"/>
      <c r="FQ220" s="152"/>
      <c r="FR220" s="152"/>
      <c r="FS220" s="152"/>
      <c r="FT220" s="152"/>
      <c r="FU220" s="152"/>
      <c r="FV220" s="152"/>
      <c r="FW220" s="152"/>
      <c r="FX220" s="152"/>
    </row>
    <row r="221" spans="1:180" s="150" customFormat="1" ht="50.25" customHeight="1" thickTop="1" thickBot="1" x14ac:dyDescent="0.3">
      <c r="A221" s="307" t="s">
        <v>2482</v>
      </c>
      <c r="B221" s="625" t="s">
        <v>2545</v>
      </c>
      <c r="C221" s="413" t="s">
        <v>53</v>
      </c>
      <c r="D221" s="418">
        <v>3</v>
      </c>
      <c r="E221" s="418">
        <v>30</v>
      </c>
      <c r="F221" s="418">
        <v>3</v>
      </c>
      <c r="G221" s="418">
        <v>980</v>
      </c>
      <c r="H221" s="483">
        <v>13565969</v>
      </c>
      <c r="I221" s="483">
        <v>13565969</v>
      </c>
      <c r="J221" s="416" t="s">
        <v>1125</v>
      </c>
      <c r="K221" s="418" t="s">
        <v>16</v>
      </c>
      <c r="L221" s="417">
        <v>1</v>
      </c>
      <c r="M221" s="417">
        <v>1</v>
      </c>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c r="BI221" s="152"/>
      <c r="BJ221" s="152"/>
      <c r="BK221" s="152"/>
      <c r="BL221" s="152"/>
      <c r="BM221" s="152"/>
      <c r="BN221" s="152"/>
      <c r="BO221" s="152"/>
      <c r="BP221" s="152"/>
      <c r="BQ221" s="152"/>
      <c r="BR221" s="152"/>
      <c r="BS221" s="152"/>
      <c r="BT221" s="152"/>
      <c r="BU221" s="152"/>
      <c r="BV221" s="152"/>
      <c r="BW221" s="152"/>
      <c r="BX221" s="152"/>
      <c r="BY221" s="152"/>
      <c r="BZ221" s="152"/>
      <c r="CA221" s="152"/>
      <c r="CB221" s="152"/>
      <c r="CC221" s="152"/>
      <c r="CD221" s="152"/>
      <c r="CE221" s="152"/>
      <c r="CF221" s="152"/>
      <c r="CG221" s="152"/>
      <c r="CH221" s="152"/>
      <c r="CI221" s="152"/>
      <c r="CJ221" s="152"/>
      <c r="CK221" s="152"/>
      <c r="CL221" s="152"/>
      <c r="CM221" s="152"/>
      <c r="CN221" s="152"/>
      <c r="CO221" s="152"/>
      <c r="CP221" s="152"/>
      <c r="CQ221" s="152"/>
      <c r="CR221" s="152"/>
      <c r="CS221" s="152"/>
      <c r="CT221" s="152"/>
      <c r="CU221" s="152"/>
      <c r="CV221" s="152"/>
      <c r="CW221" s="152"/>
      <c r="CX221" s="152"/>
      <c r="CY221" s="152"/>
      <c r="CZ221" s="152"/>
      <c r="DA221" s="152"/>
      <c r="DB221" s="152"/>
      <c r="DC221" s="152"/>
      <c r="DD221" s="152"/>
      <c r="DE221" s="152"/>
      <c r="DF221" s="152"/>
      <c r="DG221" s="152"/>
      <c r="DH221" s="152"/>
      <c r="DI221" s="152"/>
      <c r="DJ221" s="152"/>
      <c r="DK221" s="152"/>
      <c r="DL221" s="152"/>
      <c r="DM221" s="152"/>
      <c r="DN221" s="152"/>
      <c r="DO221" s="152"/>
      <c r="DP221" s="152"/>
      <c r="DQ221" s="152"/>
      <c r="DR221" s="152"/>
      <c r="DS221" s="152"/>
      <c r="DT221" s="152"/>
      <c r="DU221" s="152"/>
      <c r="DV221" s="152"/>
      <c r="DW221" s="152"/>
      <c r="DX221" s="152"/>
      <c r="DY221" s="152"/>
      <c r="DZ221" s="152"/>
      <c r="EA221" s="152"/>
      <c r="EB221" s="152"/>
      <c r="EC221" s="152"/>
      <c r="ED221" s="152"/>
      <c r="EE221" s="152"/>
      <c r="EF221" s="152"/>
      <c r="EG221" s="152"/>
      <c r="EH221" s="152"/>
      <c r="EI221" s="152"/>
      <c r="EJ221" s="152"/>
      <c r="EK221" s="152"/>
      <c r="EL221" s="152"/>
      <c r="EM221" s="152"/>
      <c r="EN221" s="152"/>
      <c r="EO221" s="152"/>
      <c r="EP221" s="152"/>
      <c r="EQ221" s="152"/>
      <c r="ER221" s="152"/>
      <c r="ES221" s="152"/>
      <c r="ET221" s="152"/>
      <c r="EU221" s="152"/>
      <c r="EV221" s="152"/>
      <c r="EW221" s="152"/>
      <c r="EX221" s="152"/>
      <c r="EY221" s="152"/>
      <c r="EZ221" s="152"/>
      <c r="FA221" s="152"/>
      <c r="FB221" s="152"/>
      <c r="FC221" s="152"/>
      <c r="FD221" s="152"/>
      <c r="FE221" s="152"/>
      <c r="FF221" s="152"/>
      <c r="FG221" s="152"/>
      <c r="FH221" s="152"/>
      <c r="FI221" s="152"/>
      <c r="FJ221" s="152"/>
      <c r="FK221" s="152"/>
      <c r="FL221" s="152"/>
      <c r="FM221" s="152"/>
      <c r="FN221" s="152"/>
      <c r="FO221" s="152"/>
      <c r="FP221" s="152"/>
      <c r="FQ221" s="152"/>
      <c r="FR221" s="152"/>
      <c r="FS221" s="152"/>
      <c r="FT221" s="152"/>
      <c r="FU221" s="152"/>
      <c r="FV221" s="152"/>
      <c r="FW221" s="152"/>
      <c r="FX221" s="152"/>
    </row>
    <row r="222" spans="1:180" s="153" customFormat="1" ht="15" customHeight="1" thickTop="1" thickBot="1" x14ac:dyDescent="0.3">
      <c r="A222" s="161"/>
      <c r="B222" s="475"/>
      <c r="C222" s="158"/>
      <c r="D222" s="165"/>
      <c r="E222" s="165"/>
      <c r="F222" s="165"/>
      <c r="G222" s="165"/>
      <c r="H222" s="164"/>
      <c r="I222" s="164"/>
      <c r="J222" s="165"/>
      <c r="K222" s="165"/>
      <c r="L222" s="164"/>
      <c r="M222" s="473"/>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c r="BI222" s="152"/>
      <c r="BJ222" s="152"/>
      <c r="BK222" s="152"/>
      <c r="BL222" s="152"/>
      <c r="BM222" s="152"/>
      <c r="BN222" s="152"/>
      <c r="BO222" s="152"/>
      <c r="BP222" s="152"/>
      <c r="BQ222" s="152"/>
      <c r="BR222" s="152"/>
      <c r="BS222" s="152"/>
      <c r="BT222" s="152"/>
      <c r="BU222" s="152"/>
      <c r="BV222" s="152"/>
      <c r="BW222" s="152"/>
      <c r="BX222" s="152"/>
      <c r="BY222" s="152"/>
      <c r="BZ222" s="152"/>
      <c r="CA222" s="152"/>
      <c r="CB222" s="152"/>
      <c r="CC222" s="152"/>
      <c r="CD222" s="152"/>
      <c r="CE222" s="152"/>
      <c r="CF222" s="152"/>
      <c r="CG222" s="152"/>
      <c r="CH222" s="152"/>
      <c r="CI222" s="152"/>
      <c r="CJ222" s="152"/>
      <c r="CK222" s="152"/>
      <c r="CL222" s="152"/>
      <c r="CM222" s="152"/>
      <c r="CN222" s="152"/>
      <c r="CO222" s="152"/>
      <c r="CP222" s="152"/>
      <c r="CQ222" s="152"/>
      <c r="CR222" s="152"/>
      <c r="CS222" s="152"/>
      <c r="CT222" s="152"/>
      <c r="CU222" s="152"/>
      <c r="CV222" s="152"/>
      <c r="CW222" s="152"/>
      <c r="CX222" s="152"/>
      <c r="CY222" s="152"/>
      <c r="CZ222" s="152"/>
      <c r="DA222" s="152"/>
      <c r="DB222" s="152"/>
      <c r="DC222" s="152"/>
      <c r="DD222" s="152"/>
      <c r="DE222" s="152"/>
      <c r="DF222" s="152"/>
      <c r="DG222" s="152"/>
      <c r="DH222" s="152"/>
      <c r="DI222" s="152"/>
      <c r="DJ222" s="152"/>
      <c r="DK222" s="152"/>
      <c r="DL222" s="152"/>
      <c r="DM222" s="152"/>
      <c r="DN222" s="152"/>
      <c r="DO222" s="152"/>
      <c r="DP222" s="152"/>
      <c r="DQ222" s="152"/>
      <c r="DR222" s="152"/>
      <c r="DS222" s="152"/>
      <c r="DT222" s="152"/>
      <c r="DU222" s="152"/>
      <c r="DV222" s="152"/>
      <c r="DW222" s="152"/>
      <c r="DX222" s="152"/>
      <c r="DY222" s="152"/>
      <c r="DZ222" s="152"/>
      <c r="EA222" s="152"/>
      <c r="EB222" s="152"/>
      <c r="EC222" s="152"/>
      <c r="ED222" s="152"/>
      <c r="EE222" s="152"/>
      <c r="EF222" s="152"/>
      <c r="EG222" s="152"/>
      <c r="EH222" s="152"/>
      <c r="EI222" s="152"/>
      <c r="EJ222" s="152"/>
      <c r="EK222" s="152"/>
      <c r="EL222" s="152"/>
      <c r="EM222" s="152"/>
      <c r="EN222" s="152"/>
      <c r="EO222" s="152"/>
      <c r="EP222" s="152"/>
      <c r="EQ222" s="152"/>
      <c r="ER222" s="152"/>
      <c r="ES222" s="152"/>
      <c r="ET222" s="152"/>
      <c r="EU222" s="152"/>
      <c r="EV222" s="152"/>
      <c r="EW222" s="152"/>
      <c r="EX222" s="152"/>
      <c r="EY222" s="152"/>
      <c r="EZ222" s="152"/>
      <c r="FA222" s="152"/>
      <c r="FB222" s="152"/>
      <c r="FC222" s="152"/>
      <c r="FD222" s="152"/>
      <c r="FE222" s="152"/>
      <c r="FF222" s="152"/>
      <c r="FG222" s="152"/>
      <c r="FH222" s="152"/>
      <c r="FI222" s="152"/>
      <c r="FJ222" s="152"/>
      <c r="FK222" s="152"/>
      <c r="FL222" s="152"/>
      <c r="FM222" s="152"/>
      <c r="FN222" s="152"/>
      <c r="FO222" s="152"/>
      <c r="FP222" s="152"/>
      <c r="FQ222" s="152"/>
      <c r="FR222" s="152"/>
      <c r="FS222" s="152"/>
      <c r="FT222" s="152"/>
      <c r="FU222" s="152"/>
      <c r="FV222" s="152"/>
      <c r="FW222" s="152"/>
      <c r="FX222" s="152"/>
    </row>
    <row r="223" spans="1:180" s="168" customFormat="1" ht="30" customHeight="1" thickTop="1" thickBot="1" x14ac:dyDescent="0.3">
      <c r="A223" s="639" t="s">
        <v>0</v>
      </c>
      <c r="B223" s="639" t="s">
        <v>1</v>
      </c>
      <c r="C223" s="639" t="s">
        <v>2569</v>
      </c>
      <c r="D223" s="636" t="s">
        <v>1961</v>
      </c>
      <c r="E223" s="637"/>
      <c r="F223" s="637"/>
      <c r="G223" s="638"/>
      <c r="H223" s="636" t="s">
        <v>3</v>
      </c>
      <c r="I223" s="637"/>
      <c r="J223" s="636" t="s">
        <v>1962</v>
      </c>
      <c r="K223" s="637"/>
      <c r="L223" s="637"/>
      <c r="M223" s="638"/>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row>
    <row r="224" spans="1:180" s="152" customFormat="1" ht="34.5" customHeight="1" thickTop="1" thickBot="1" x14ac:dyDescent="0.3">
      <c r="A224" s="640"/>
      <c r="B224" s="640"/>
      <c r="C224" s="640"/>
      <c r="D224" s="209" t="s">
        <v>4</v>
      </c>
      <c r="E224" s="209" t="s">
        <v>5</v>
      </c>
      <c r="F224" s="209" t="s">
        <v>6</v>
      </c>
      <c r="G224" s="209" t="s">
        <v>7</v>
      </c>
      <c r="H224" s="209" t="s">
        <v>2</v>
      </c>
      <c r="I224" s="209" t="s">
        <v>3</v>
      </c>
      <c r="J224" s="209" t="s">
        <v>8</v>
      </c>
      <c r="K224" s="406" t="s">
        <v>9</v>
      </c>
      <c r="L224" s="406" t="s">
        <v>1963</v>
      </c>
      <c r="M224" s="406" t="s">
        <v>1964</v>
      </c>
    </row>
    <row r="225" spans="1:180" s="150" customFormat="1" ht="53.25" customHeight="1" thickTop="1" thickBot="1" x14ac:dyDescent="0.3">
      <c r="A225" s="307" t="s">
        <v>1313</v>
      </c>
      <c r="B225" s="625" t="s">
        <v>2545</v>
      </c>
      <c r="C225" s="413" t="s">
        <v>18</v>
      </c>
      <c r="D225" s="418">
        <v>3</v>
      </c>
      <c r="E225" s="418">
        <v>30</v>
      </c>
      <c r="F225" s="418">
        <v>3</v>
      </c>
      <c r="G225" s="418">
        <v>848</v>
      </c>
      <c r="H225" s="483">
        <v>469739490</v>
      </c>
      <c r="I225" s="483">
        <v>239085000</v>
      </c>
      <c r="J225" s="416" t="s">
        <v>1126</v>
      </c>
      <c r="K225" s="418" t="s">
        <v>20</v>
      </c>
      <c r="L225" s="417">
        <v>330</v>
      </c>
      <c r="M225" s="417">
        <v>167.96128850056868</v>
      </c>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c r="BI225" s="152"/>
      <c r="BJ225" s="152"/>
      <c r="BK225" s="152"/>
      <c r="BL225" s="152"/>
      <c r="BM225" s="152"/>
      <c r="BN225" s="152"/>
      <c r="BO225" s="152"/>
      <c r="BP225" s="152"/>
      <c r="BQ225" s="152"/>
      <c r="BR225" s="152"/>
      <c r="BS225" s="152"/>
      <c r="BT225" s="152"/>
      <c r="BU225" s="152"/>
      <c r="BV225" s="152"/>
      <c r="BW225" s="152"/>
      <c r="BX225" s="152"/>
      <c r="BY225" s="152"/>
      <c r="BZ225" s="152"/>
      <c r="CA225" s="152"/>
      <c r="CB225" s="152"/>
      <c r="CC225" s="152"/>
      <c r="CD225" s="152"/>
      <c r="CE225" s="152"/>
      <c r="CF225" s="152"/>
      <c r="CG225" s="152"/>
      <c r="CH225" s="152"/>
      <c r="CI225" s="152"/>
      <c r="CJ225" s="152"/>
      <c r="CK225" s="152"/>
      <c r="CL225" s="152"/>
      <c r="CM225" s="152"/>
      <c r="CN225" s="152"/>
      <c r="CO225" s="152"/>
      <c r="CP225" s="152"/>
      <c r="CQ225" s="152"/>
      <c r="CR225" s="152"/>
      <c r="CS225" s="152"/>
      <c r="CT225" s="152"/>
      <c r="CU225" s="152"/>
      <c r="CV225" s="152"/>
      <c r="CW225" s="152"/>
      <c r="CX225" s="152"/>
      <c r="CY225" s="152"/>
      <c r="CZ225" s="152"/>
      <c r="DA225" s="152"/>
      <c r="DB225" s="152"/>
      <c r="DC225" s="152"/>
      <c r="DD225" s="152"/>
      <c r="DE225" s="152"/>
      <c r="DF225" s="152"/>
      <c r="DG225" s="152"/>
      <c r="DH225" s="152"/>
      <c r="DI225" s="152"/>
      <c r="DJ225" s="152"/>
      <c r="DK225" s="152"/>
      <c r="DL225" s="152"/>
      <c r="DM225" s="152"/>
      <c r="DN225" s="152"/>
      <c r="DO225" s="152"/>
      <c r="DP225" s="152"/>
      <c r="DQ225" s="152"/>
      <c r="DR225" s="152"/>
      <c r="DS225" s="152"/>
      <c r="DT225" s="152"/>
      <c r="DU225" s="152"/>
      <c r="DV225" s="152"/>
      <c r="DW225" s="152"/>
      <c r="DX225" s="152"/>
      <c r="DY225" s="152"/>
      <c r="DZ225" s="152"/>
      <c r="EA225" s="152"/>
      <c r="EB225" s="152"/>
      <c r="EC225" s="152"/>
      <c r="ED225" s="152"/>
      <c r="EE225" s="152"/>
      <c r="EF225" s="152"/>
      <c r="EG225" s="152"/>
      <c r="EH225" s="152"/>
      <c r="EI225" s="152"/>
      <c r="EJ225" s="152"/>
      <c r="EK225" s="152"/>
      <c r="EL225" s="152"/>
      <c r="EM225" s="152"/>
      <c r="EN225" s="152"/>
      <c r="EO225" s="152"/>
      <c r="EP225" s="152"/>
      <c r="EQ225" s="152"/>
      <c r="ER225" s="152"/>
      <c r="ES225" s="152"/>
      <c r="ET225" s="152"/>
      <c r="EU225" s="152"/>
      <c r="EV225" s="152"/>
      <c r="EW225" s="152"/>
      <c r="EX225" s="152"/>
      <c r="EY225" s="152"/>
      <c r="EZ225" s="152"/>
      <c r="FA225" s="152"/>
      <c r="FB225" s="152"/>
      <c r="FC225" s="152"/>
      <c r="FD225" s="152"/>
      <c r="FE225" s="152"/>
      <c r="FF225" s="152"/>
      <c r="FG225" s="152"/>
      <c r="FH225" s="152"/>
      <c r="FI225" s="152"/>
      <c r="FJ225" s="152"/>
      <c r="FK225" s="152"/>
      <c r="FL225" s="152"/>
      <c r="FM225" s="152"/>
      <c r="FN225" s="152"/>
      <c r="FO225" s="152"/>
      <c r="FP225" s="152"/>
      <c r="FQ225" s="152"/>
      <c r="FR225" s="152"/>
      <c r="FS225" s="152"/>
      <c r="FT225" s="152"/>
      <c r="FU225" s="152"/>
      <c r="FV225" s="152"/>
      <c r="FW225" s="152"/>
      <c r="FX225" s="152"/>
    </row>
    <row r="226" spans="1:180" s="150" customFormat="1" ht="36" customHeight="1" thickTop="1" thickBot="1" x14ac:dyDescent="0.3">
      <c r="A226" s="307" t="s">
        <v>1313</v>
      </c>
      <c r="B226" s="625" t="s">
        <v>2545</v>
      </c>
      <c r="C226" s="651" t="s">
        <v>53</v>
      </c>
      <c r="D226" s="418">
        <v>3</v>
      </c>
      <c r="E226" s="418">
        <v>30</v>
      </c>
      <c r="F226" s="418">
        <v>3</v>
      </c>
      <c r="G226" s="418">
        <v>520</v>
      </c>
      <c r="H226" s="483">
        <f>821058810-108193350</f>
        <v>712865460</v>
      </c>
      <c r="I226" s="483">
        <v>439971922</v>
      </c>
      <c r="J226" s="416" t="s">
        <v>1127</v>
      </c>
      <c r="K226" s="418" t="s">
        <v>55</v>
      </c>
      <c r="L226" s="417">
        <v>14</v>
      </c>
      <c r="M226" s="417">
        <v>9</v>
      </c>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c r="BI226" s="152"/>
      <c r="BJ226" s="152"/>
      <c r="BK226" s="152"/>
      <c r="BL226" s="152"/>
      <c r="BM226" s="152"/>
      <c r="BN226" s="152"/>
      <c r="BO226" s="152"/>
      <c r="BP226" s="152"/>
      <c r="BQ226" s="152"/>
      <c r="BR226" s="152"/>
      <c r="BS226" s="152"/>
      <c r="BT226" s="152"/>
      <c r="BU226" s="152"/>
      <c r="BV226" s="152"/>
      <c r="BW226" s="152"/>
      <c r="BX226" s="152"/>
      <c r="BY226" s="152"/>
      <c r="BZ226" s="152"/>
      <c r="CA226" s="152"/>
      <c r="CB226" s="152"/>
      <c r="CC226" s="152"/>
      <c r="CD226" s="152"/>
      <c r="CE226" s="152"/>
      <c r="CF226" s="152"/>
      <c r="CG226" s="152"/>
      <c r="CH226" s="152"/>
      <c r="CI226" s="152"/>
      <c r="CJ226" s="152"/>
      <c r="CK226" s="152"/>
      <c r="CL226" s="152"/>
      <c r="CM226" s="152"/>
      <c r="CN226" s="152"/>
      <c r="CO226" s="152"/>
      <c r="CP226" s="152"/>
      <c r="CQ226" s="152"/>
      <c r="CR226" s="152"/>
      <c r="CS226" s="152"/>
      <c r="CT226" s="152"/>
      <c r="CU226" s="152"/>
      <c r="CV226" s="152"/>
      <c r="CW226" s="152"/>
      <c r="CX226" s="152"/>
      <c r="CY226" s="152"/>
      <c r="CZ226" s="152"/>
      <c r="DA226" s="152"/>
      <c r="DB226" s="152"/>
      <c r="DC226" s="152"/>
      <c r="DD226" s="152"/>
      <c r="DE226" s="152"/>
      <c r="DF226" s="152"/>
      <c r="DG226" s="152"/>
      <c r="DH226" s="152"/>
      <c r="DI226" s="152"/>
      <c r="DJ226" s="152"/>
      <c r="DK226" s="152"/>
      <c r="DL226" s="152"/>
      <c r="DM226" s="152"/>
      <c r="DN226" s="152"/>
      <c r="DO226" s="152"/>
      <c r="DP226" s="152"/>
      <c r="DQ226" s="152"/>
      <c r="DR226" s="152"/>
      <c r="DS226" s="152"/>
      <c r="DT226" s="152"/>
      <c r="DU226" s="152"/>
      <c r="DV226" s="152"/>
      <c r="DW226" s="152"/>
      <c r="DX226" s="152"/>
      <c r="DY226" s="152"/>
      <c r="DZ226" s="152"/>
      <c r="EA226" s="152"/>
      <c r="EB226" s="152"/>
      <c r="EC226" s="152"/>
      <c r="ED226" s="152"/>
      <c r="EE226" s="152"/>
      <c r="EF226" s="152"/>
      <c r="EG226" s="152"/>
      <c r="EH226" s="152"/>
      <c r="EI226" s="152"/>
      <c r="EJ226" s="152"/>
      <c r="EK226" s="152"/>
      <c r="EL226" s="152"/>
      <c r="EM226" s="152"/>
      <c r="EN226" s="152"/>
      <c r="EO226" s="152"/>
      <c r="EP226" s="152"/>
      <c r="EQ226" s="152"/>
      <c r="ER226" s="152"/>
      <c r="ES226" s="152"/>
      <c r="ET226" s="152"/>
      <c r="EU226" s="152"/>
      <c r="EV226" s="152"/>
      <c r="EW226" s="152"/>
      <c r="EX226" s="152"/>
      <c r="EY226" s="152"/>
      <c r="EZ226" s="152"/>
      <c r="FA226" s="152"/>
      <c r="FB226" s="152"/>
      <c r="FC226" s="152"/>
      <c r="FD226" s="152"/>
      <c r="FE226" s="152"/>
      <c r="FF226" s="152"/>
      <c r="FG226" s="152"/>
      <c r="FH226" s="152"/>
      <c r="FI226" s="152"/>
      <c r="FJ226" s="152"/>
      <c r="FK226" s="152"/>
      <c r="FL226" s="152"/>
      <c r="FM226" s="152"/>
      <c r="FN226" s="152"/>
      <c r="FO226" s="152"/>
      <c r="FP226" s="152"/>
      <c r="FQ226" s="152"/>
      <c r="FR226" s="152"/>
      <c r="FS226" s="152"/>
      <c r="FT226" s="152"/>
      <c r="FU226" s="152"/>
      <c r="FV226" s="152"/>
      <c r="FW226" s="152"/>
      <c r="FX226" s="152"/>
    </row>
    <row r="227" spans="1:180" s="150" customFormat="1" ht="36" customHeight="1" thickTop="1" thickBot="1" x14ac:dyDescent="0.3">
      <c r="A227" s="307" t="s">
        <v>1313</v>
      </c>
      <c r="B227" s="625" t="s">
        <v>2545</v>
      </c>
      <c r="C227" s="653"/>
      <c r="D227" s="418">
        <v>3</v>
      </c>
      <c r="E227" s="418">
        <v>30</v>
      </c>
      <c r="F227" s="418">
        <v>3</v>
      </c>
      <c r="G227" s="418">
        <v>520</v>
      </c>
      <c r="H227" s="483">
        <f>110000000+110000000+55000000</f>
        <v>275000000</v>
      </c>
      <c r="I227" s="483">
        <v>0</v>
      </c>
      <c r="J227" s="416" t="s">
        <v>1128</v>
      </c>
      <c r="K227" s="418" t="s">
        <v>55</v>
      </c>
      <c r="L227" s="417">
        <v>5</v>
      </c>
      <c r="M227" s="417">
        <v>0</v>
      </c>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c r="BI227" s="152"/>
      <c r="BJ227" s="152"/>
      <c r="BK227" s="152"/>
      <c r="BL227" s="152"/>
      <c r="BM227" s="152"/>
      <c r="BN227" s="152"/>
      <c r="BO227" s="152"/>
      <c r="BP227" s="152"/>
      <c r="BQ227" s="152"/>
      <c r="BR227" s="152"/>
      <c r="BS227" s="152"/>
      <c r="BT227" s="152"/>
      <c r="BU227" s="152"/>
      <c r="BV227" s="152"/>
      <c r="BW227" s="152"/>
      <c r="BX227" s="152"/>
      <c r="BY227" s="152"/>
      <c r="BZ227" s="152"/>
      <c r="CA227" s="152"/>
      <c r="CB227" s="152"/>
      <c r="CC227" s="152"/>
      <c r="CD227" s="152"/>
      <c r="CE227" s="152"/>
      <c r="CF227" s="152"/>
      <c r="CG227" s="152"/>
      <c r="CH227" s="152"/>
      <c r="CI227" s="152"/>
      <c r="CJ227" s="152"/>
      <c r="CK227" s="152"/>
      <c r="CL227" s="152"/>
      <c r="CM227" s="152"/>
      <c r="CN227" s="152"/>
      <c r="CO227" s="152"/>
      <c r="CP227" s="152"/>
      <c r="CQ227" s="152"/>
      <c r="CR227" s="152"/>
      <c r="CS227" s="152"/>
      <c r="CT227" s="152"/>
      <c r="CU227" s="152"/>
      <c r="CV227" s="152"/>
      <c r="CW227" s="152"/>
      <c r="CX227" s="152"/>
      <c r="CY227" s="152"/>
      <c r="CZ227" s="152"/>
      <c r="DA227" s="152"/>
      <c r="DB227" s="152"/>
      <c r="DC227" s="152"/>
      <c r="DD227" s="152"/>
      <c r="DE227" s="152"/>
      <c r="DF227" s="152"/>
      <c r="DG227" s="152"/>
      <c r="DH227" s="152"/>
      <c r="DI227" s="152"/>
      <c r="DJ227" s="152"/>
      <c r="DK227" s="152"/>
      <c r="DL227" s="152"/>
      <c r="DM227" s="152"/>
      <c r="DN227" s="152"/>
      <c r="DO227" s="152"/>
      <c r="DP227" s="152"/>
      <c r="DQ227" s="152"/>
      <c r="DR227" s="152"/>
      <c r="DS227" s="152"/>
      <c r="DT227" s="152"/>
      <c r="DU227" s="152"/>
      <c r="DV227" s="152"/>
      <c r="DW227" s="152"/>
      <c r="DX227" s="152"/>
      <c r="DY227" s="152"/>
      <c r="DZ227" s="152"/>
      <c r="EA227" s="152"/>
      <c r="EB227" s="152"/>
      <c r="EC227" s="152"/>
      <c r="ED227" s="152"/>
      <c r="EE227" s="152"/>
      <c r="EF227" s="152"/>
      <c r="EG227" s="152"/>
      <c r="EH227" s="152"/>
      <c r="EI227" s="152"/>
      <c r="EJ227" s="152"/>
      <c r="EK227" s="152"/>
      <c r="EL227" s="152"/>
      <c r="EM227" s="152"/>
      <c r="EN227" s="152"/>
      <c r="EO227" s="152"/>
      <c r="EP227" s="152"/>
      <c r="EQ227" s="152"/>
      <c r="ER227" s="152"/>
      <c r="ES227" s="152"/>
      <c r="ET227" s="152"/>
      <c r="EU227" s="152"/>
      <c r="EV227" s="152"/>
      <c r="EW227" s="152"/>
      <c r="EX227" s="152"/>
      <c r="EY227" s="152"/>
      <c r="EZ227" s="152"/>
      <c r="FA227" s="152"/>
      <c r="FB227" s="152"/>
      <c r="FC227" s="152"/>
      <c r="FD227" s="152"/>
      <c r="FE227" s="152"/>
      <c r="FF227" s="152"/>
      <c r="FG227" s="152"/>
      <c r="FH227" s="152"/>
      <c r="FI227" s="152"/>
      <c r="FJ227" s="152"/>
      <c r="FK227" s="152"/>
      <c r="FL227" s="152"/>
      <c r="FM227" s="152"/>
      <c r="FN227" s="152"/>
      <c r="FO227" s="152"/>
      <c r="FP227" s="152"/>
      <c r="FQ227" s="152"/>
      <c r="FR227" s="152"/>
      <c r="FS227" s="152"/>
      <c r="FT227" s="152"/>
      <c r="FU227" s="152"/>
      <c r="FV227" s="152"/>
      <c r="FW227" s="152"/>
      <c r="FX227" s="152"/>
    </row>
    <row r="228" spans="1:180" s="150" customFormat="1" ht="40.5" customHeight="1" thickTop="1" thickBot="1" x14ac:dyDescent="0.3">
      <c r="A228" s="307" t="s">
        <v>1313</v>
      </c>
      <c r="B228" s="625" t="s">
        <v>2545</v>
      </c>
      <c r="C228" s="413" t="s">
        <v>105</v>
      </c>
      <c r="D228" s="418">
        <v>3</v>
      </c>
      <c r="E228" s="418">
        <v>30</v>
      </c>
      <c r="F228" s="418">
        <v>3</v>
      </c>
      <c r="G228" s="418">
        <v>540</v>
      </c>
      <c r="H228" s="483">
        <v>108193350</v>
      </c>
      <c r="I228" s="483">
        <v>108193350</v>
      </c>
      <c r="J228" s="416" t="s">
        <v>1129</v>
      </c>
      <c r="K228" s="418" t="s">
        <v>1130</v>
      </c>
      <c r="L228" s="417">
        <v>573</v>
      </c>
      <c r="M228" s="417">
        <v>573</v>
      </c>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c r="BI228" s="152"/>
      <c r="BJ228" s="152"/>
      <c r="BK228" s="152"/>
      <c r="BL228" s="152"/>
      <c r="BM228" s="152"/>
      <c r="BN228" s="152"/>
      <c r="BO228" s="152"/>
      <c r="BP228" s="152"/>
      <c r="BQ228" s="152"/>
      <c r="BR228" s="152"/>
      <c r="BS228" s="152"/>
      <c r="BT228" s="152"/>
      <c r="BU228" s="152"/>
      <c r="BV228" s="152"/>
      <c r="BW228" s="152"/>
      <c r="BX228" s="152"/>
      <c r="BY228" s="152"/>
      <c r="BZ228" s="152"/>
      <c r="CA228" s="152"/>
      <c r="CB228" s="152"/>
      <c r="CC228" s="152"/>
      <c r="CD228" s="152"/>
      <c r="CE228" s="152"/>
      <c r="CF228" s="152"/>
      <c r="CG228" s="152"/>
      <c r="CH228" s="152"/>
      <c r="CI228" s="152"/>
      <c r="CJ228" s="152"/>
      <c r="CK228" s="152"/>
      <c r="CL228" s="152"/>
      <c r="CM228" s="152"/>
      <c r="CN228" s="152"/>
      <c r="CO228" s="152"/>
      <c r="CP228" s="152"/>
      <c r="CQ228" s="152"/>
      <c r="CR228" s="152"/>
      <c r="CS228" s="152"/>
      <c r="CT228" s="152"/>
      <c r="CU228" s="152"/>
      <c r="CV228" s="152"/>
      <c r="CW228" s="152"/>
      <c r="CX228" s="152"/>
      <c r="CY228" s="152"/>
      <c r="CZ228" s="152"/>
      <c r="DA228" s="152"/>
      <c r="DB228" s="152"/>
      <c r="DC228" s="152"/>
      <c r="DD228" s="152"/>
      <c r="DE228" s="152"/>
      <c r="DF228" s="152"/>
      <c r="DG228" s="152"/>
      <c r="DH228" s="152"/>
      <c r="DI228" s="152"/>
      <c r="DJ228" s="152"/>
      <c r="DK228" s="152"/>
      <c r="DL228" s="152"/>
      <c r="DM228" s="152"/>
      <c r="DN228" s="152"/>
      <c r="DO228" s="152"/>
      <c r="DP228" s="152"/>
      <c r="DQ228" s="152"/>
      <c r="DR228" s="152"/>
      <c r="DS228" s="152"/>
      <c r="DT228" s="152"/>
      <c r="DU228" s="152"/>
      <c r="DV228" s="152"/>
      <c r="DW228" s="152"/>
      <c r="DX228" s="152"/>
      <c r="DY228" s="152"/>
      <c r="DZ228" s="152"/>
      <c r="EA228" s="152"/>
      <c r="EB228" s="152"/>
      <c r="EC228" s="152"/>
      <c r="ED228" s="152"/>
      <c r="EE228" s="152"/>
      <c r="EF228" s="152"/>
      <c r="EG228" s="152"/>
      <c r="EH228" s="152"/>
      <c r="EI228" s="152"/>
      <c r="EJ228" s="152"/>
      <c r="EK228" s="152"/>
      <c r="EL228" s="152"/>
      <c r="EM228" s="152"/>
      <c r="EN228" s="152"/>
      <c r="EO228" s="152"/>
      <c r="EP228" s="152"/>
      <c r="EQ228" s="152"/>
      <c r="ER228" s="152"/>
      <c r="ES228" s="152"/>
      <c r="ET228" s="152"/>
      <c r="EU228" s="152"/>
      <c r="EV228" s="152"/>
      <c r="EW228" s="152"/>
      <c r="EX228" s="152"/>
      <c r="EY228" s="152"/>
      <c r="EZ228" s="152"/>
      <c r="FA228" s="152"/>
      <c r="FB228" s="152"/>
      <c r="FC228" s="152"/>
      <c r="FD228" s="152"/>
      <c r="FE228" s="152"/>
      <c r="FF228" s="152"/>
      <c r="FG228" s="152"/>
      <c r="FH228" s="152"/>
      <c r="FI228" s="152"/>
      <c r="FJ228" s="152"/>
      <c r="FK228" s="152"/>
      <c r="FL228" s="152"/>
      <c r="FM228" s="152"/>
      <c r="FN228" s="152"/>
      <c r="FO228" s="152"/>
      <c r="FP228" s="152"/>
      <c r="FQ228" s="152"/>
      <c r="FR228" s="152"/>
      <c r="FS228" s="152"/>
      <c r="FT228" s="152"/>
      <c r="FU228" s="152"/>
      <c r="FV228" s="152"/>
      <c r="FW228" s="152"/>
      <c r="FX228" s="152"/>
    </row>
    <row r="229" spans="1:180" s="153" customFormat="1" ht="16.5" customHeight="1" thickTop="1" thickBot="1" x14ac:dyDescent="0.3">
      <c r="B229" s="475"/>
      <c r="C229" s="178"/>
      <c r="D229" s="178"/>
      <c r="E229" s="178"/>
      <c r="F229" s="178"/>
      <c r="G229" s="178"/>
      <c r="H229" s="28"/>
      <c r="I229" s="24"/>
      <c r="J229" s="24"/>
      <c r="K229" s="24"/>
      <c r="L229" s="41"/>
      <c r="M229" s="41"/>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c r="BI229" s="152"/>
      <c r="BJ229" s="152"/>
      <c r="BK229" s="152"/>
      <c r="BL229" s="152"/>
      <c r="BM229" s="152"/>
      <c r="BN229" s="152"/>
      <c r="BO229" s="152"/>
      <c r="BP229" s="152"/>
      <c r="BQ229" s="152"/>
      <c r="BR229" s="152"/>
      <c r="BS229" s="152"/>
      <c r="BT229" s="152"/>
      <c r="BU229" s="152"/>
      <c r="BV229" s="152"/>
      <c r="BW229" s="152"/>
      <c r="BX229" s="152"/>
      <c r="BY229" s="152"/>
      <c r="BZ229" s="152"/>
      <c r="CA229" s="152"/>
      <c r="CB229" s="152"/>
      <c r="CC229" s="152"/>
      <c r="CD229" s="152"/>
      <c r="CE229" s="152"/>
      <c r="CF229" s="152"/>
      <c r="CG229" s="152"/>
      <c r="CH229" s="152"/>
      <c r="CI229" s="152"/>
      <c r="CJ229" s="152"/>
      <c r="CK229" s="152"/>
      <c r="CL229" s="152"/>
      <c r="CM229" s="152"/>
      <c r="CN229" s="152"/>
      <c r="CO229" s="152"/>
      <c r="CP229" s="152"/>
      <c r="CQ229" s="152"/>
      <c r="CR229" s="152"/>
      <c r="CS229" s="152"/>
      <c r="CT229" s="152"/>
      <c r="CU229" s="152"/>
      <c r="CV229" s="152"/>
      <c r="CW229" s="152"/>
      <c r="CX229" s="152"/>
      <c r="CY229" s="152"/>
      <c r="CZ229" s="152"/>
      <c r="DA229" s="152"/>
      <c r="DB229" s="152"/>
      <c r="DC229" s="152"/>
      <c r="DD229" s="152"/>
      <c r="DE229" s="152"/>
      <c r="DF229" s="152"/>
      <c r="DG229" s="152"/>
      <c r="DH229" s="152"/>
      <c r="DI229" s="152"/>
      <c r="DJ229" s="152"/>
      <c r="DK229" s="152"/>
      <c r="DL229" s="152"/>
      <c r="DM229" s="152"/>
      <c r="DN229" s="152"/>
      <c r="DO229" s="152"/>
      <c r="DP229" s="152"/>
      <c r="DQ229" s="152"/>
      <c r="DR229" s="152"/>
      <c r="DS229" s="152"/>
      <c r="DT229" s="152"/>
      <c r="DU229" s="152"/>
      <c r="DV229" s="152"/>
      <c r="DW229" s="152"/>
      <c r="DX229" s="152"/>
      <c r="DY229" s="152"/>
      <c r="DZ229" s="152"/>
      <c r="EA229" s="152"/>
      <c r="EB229" s="152"/>
      <c r="EC229" s="152"/>
      <c r="ED229" s="152"/>
      <c r="EE229" s="152"/>
      <c r="EF229" s="152"/>
      <c r="EG229" s="152"/>
      <c r="EH229" s="152"/>
      <c r="EI229" s="152"/>
      <c r="EJ229" s="152"/>
      <c r="EK229" s="152"/>
      <c r="EL229" s="152"/>
      <c r="EM229" s="152"/>
      <c r="EN229" s="152"/>
      <c r="EO229" s="152"/>
      <c r="EP229" s="152"/>
      <c r="EQ229" s="152"/>
      <c r="ER229" s="152"/>
      <c r="ES229" s="152"/>
      <c r="ET229" s="152"/>
      <c r="EU229" s="152"/>
      <c r="EV229" s="152"/>
      <c r="EW229" s="152"/>
      <c r="EX229" s="152"/>
      <c r="EY229" s="152"/>
      <c r="EZ229" s="152"/>
      <c r="FA229" s="152"/>
      <c r="FB229" s="152"/>
      <c r="FC229" s="152"/>
      <c r="FD229" s="152"/>
      <c r="FE229" s="152"/>
      <c r="FF229" s="152"/>
      <c r="FG229" s="152"/>
      <c r="FH229" s="152"/>
      <c r="FI229" s="152"/>
      <c r="FJ229" s="152"/>
      <c r="FK229" s="152"/>
      <c r="FL229" s="152"/>
      <c r="FM229" s="152"/>
      <c r="FN229" s="152"/>
      <c r="FO229" s="152"/>
      <c r="FP229" s="152"/>
      <c r="FQ229" s="152"/>
      <c r="FR229" s="152"/>
      <c r="FS229" s="152"/>
      <c r="FT229" s="152"/>
      <c r="FU229" s="152"/>
      <c r="FV229" s="152"/>
      <c r="FW229" s="152"/>
      <c r="FX229" s="152"/>
    </row>
    <row r="230" spans="1:180" s="168" customFormat="1" ht="30" customHeight="1" thickTop="1" thickBot="1" x14ac:dyDescent="0.3">
      <c r="A230" s="639" t="s">
        <v>0</v>
      </c>
      <c r="B230" s="639" t="s">
        <v>1</v>
      </c>
      <c r="C230" s="639" t="s">
        <v>2569</v>
      </c>
      <c r="D230" s="636" t="s">
        <v>1961</v>
      </c>
      <c r="E230" s="637"/>
      <c r="F230" s="637"/>
      <c r="G230" s="638"/>
      <c r="H230" s="636" t="s">
        <v>3</v>
      </c>
      <c r="I230" s="637"/>
      <c r="J230" s="636" t="s">
        <v>1962</v>
      </c>
      <c r="K230" s="637"/>
      <c r="L230" s="637"/>
      <c r="M230" s="638"/>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row>
    <row r="231" spans="1:180" s="152" customFormat="1" ht="34.5" customHeight="1" thickTop="1" thickBot="1" x14ac:dyDescent="0.3">
      <c r="A231" s="661"/>
      <c r="B231" s="661"/>
      <c r="C231" s="661"/>
      <c r="D231" s="406" t="s">
        <v>4</v>
      </c>
      <c r="E231" s="406" t="s">
        <v>5</v>
      </c>
      <c r="F231" s="406" t="s">
        <v>6</v>
      </c>
      <c r="G231" s="406" t="s">
        <v>7</v>
      </c>
      <c r="H231" s="406" t="s">
        <v>2</v>
      </c>
      <c r="I231" s="406" t="s">
        <v>3</v>
      </c>
      <c r="J231" s="406" t="s">
        <v>8</v>
      </c>
      <c r="K231" s="406" t="s">
        <v>9</v>
      </c>
      <c r="L231" s="406" t="s">
        <v>1963</v>
      </c>
      <c r="M231" s="406" t="s">
        <v>1964</v>
      </c>
    </row>
    <row r="232" spans="1:180" s="150" customFormat="1" ht="46.5" thickTop="1" thickBot="1" x14ac:dyDescent="0.3">
      <c r="A232" s="307" t="s">
        <v>1314</v>
      </c>
      <c r="B232" s="625" t="s">
        <v>2545</v>
      </c>
      <c r="C232" s="413" t="s">
        <v>18</v>
      </c>
      <c r="D232" s="413">
        <v>2</v>
      </c>
      <c r="E232" s="482">
        <v>30</v>
      </c>
      <c r="F232" s="482">
        <v>3</v>
      </c>
      <c r="G232" s="482">
        <v>848</v>
      </c>
      <c r="H232" s="483">
        <v>318653093</v>
      </c>
      <c r="I232" s="483">
        <v>315520000</v>
      </c>
      <c r="J232" s="479" t="s">
        <v>1132</v>
      </c>
      <c r="K232" s="423" t="s">
        <v>20</v>
      </c>
      <c r="L232" s="357">
        <v>232</v>
      </c>
      <c r="M232" s="357">
        <v>230</v>
      </c>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c r="BI232" s="152"/>
      <c r="BJ232" s="152"/>
      <c r="BK232" s="152"/>
      <c r="BL232" s="152"/>
      <c r="BM232" s="152"/>
      <c r="BN232" s="152"/>
      <c r="BO232" s="152"/>
      <c r="BP232" s="152"/>
      <c r="BQ232" s="152"/>
      <c r="BR232" s="152"/>
      <c r="BS232" s="152"/>
      <c r="BT232" s="152"/>
      <c r="BU232" s="152"/>
      <c r="BV232" s="152"/>
      <c r="BW232" s="152"/>
      <c r="BX232" s="152"/>
      <c r="BY232" s="152"/>
      <c r="BZ232" s="152"/>
      <c r="CA232" s="152"/>
      <c r="CB232" s="152"/>
      <c r="CC232" s="152"/>
      <c r="CD232" s="152"/>
      <c r="CE232" s="152"/>
      <c r="CF232" s="152"/>
      <c r="CG232" s="152"/>
      <c r="CH232" s="152"/>
      <c r="CI232" s="152"/>
      <c r="CJ232" s="152"/>
      <c r="CK232" s="152"/>
      <c r="CL232" s="152"/>
      <c r="CM232" s="152"/>
      <c r="CN232" s="152"/>
      <c r="CO232" s="152"/>
      <c r="CP232" s="152"/>
      <c r="CQ232" s="152"/>
      <c r="CR232" s="152"/>
      <c r="CS232" s="152"/>
      <c r="CT232" s="152"/>
      <c r="CU232" s="152"/>
      <c r="CV232" s="152"/>
      <c r="CW232" s="152"/>
      <c r="CX232" s="152"/>
      <c r="CY232" s="152"/>
      <c r="CZ232" s="152"/>
      <c r="DA232" s="152"/>
      <c r="DB232" s="152"/>
      <c r="DC232" s="152"/>
      <c r="DD232" s="152"/>
      <c r="DE232" s="152"/>
      <c r="DF232" s="152"/>
      <c r="DG232" s="152"/>
      <c r="DH232" s="152"/>
      <c r="DI232" s="152"/>
      <c r="DJ232" s="152"/>
      <c r="DK232" s="152"/>
      <c r="DL232" s="152"/>
      <c r="DM232" s="152"/>
      <c r="DN232" s="152"/>
      <c r="DO232" s="152"/>
      <c r="DP232" s="152"/>
      <c r="DQ232" s="152"/>
      <c r="DR232" s="152"/>
      <c r="DS232" s="152"/>
      <c r="DT232" s="152"/>
      <c r="DU232" s="152"/>
      <c r="DV232" s="152"/>
      <c r="DW232" s="152"/>
      <c r="DX232" s="152"/>
      <c r="DY232" s="152"/>
      <c r="DZ232" s="152"/>
      <c r="EA232" s="152"/>
      <c r="EB232" s="152"/>
      <c r="EC232" s="152"/>
      <c r="ED232" s="152"/>
      <c r="EE232" s="152"/>
      <c r="EF232" s="152"/>
      <c r="EG232" s="152"/>
      <c r="EH232" s="152"/>
      <c r="EI232" s="152"/>
      <c r="EJ232" s="152"/>
      <c r="EK232" s="152"/>
      <c r="EL232" s="152"/>
      <c r="EM232" s="152"/>
      <c r="EN232" s="152"/>
      <c r="EO232" s="152"/>
      <c r="EP232" s="152"/>
      <c r="EQ232" s="152"/>
      <c r="ER232" s="152"/>
      <c r="ES232" s="152"/>
      <c r="ET232" s="152"/>
      <c r="EU232" s="152"/>
      <c r="EV232" s="152"/>
      <c r="EW232" s="152"/>
      <c r="EX232" s="152"/>
      <c r="EY232" s="152"/>
      <c r="EZ232" s="152"/>
      <c r="FA232" s="152"/>
      <c r="FB232" s="152"/>
      <c r="FC232" s="152"/>
      <c r="FD232" s="152"/>
      <c r="FE232" s="152"/>
      <c r="FF232" s="152"/>
      <c r="FG232" s="152"/>
      <c r="FH232" s="152"/>
      <c r="FI232" s="152"/>
      <c r="FJ232" s="152"/>
      <c r="FK232" s="152"/>
      <c r="FL232" s="152"/>
      <c r="FM232" s="152"/>
      <c r="FN232" s="152"/>
      <c r="FO232" s="152"/>
      <c r="FP232" s="152"/>
      <c r="FQ232" s="152"/>
      <c r="FR232" s="152"/>
      <c r="FS232" s="152"/>
      <c r="FT232" s="152"/>
      <c r="FU232" s="152"/>
      <c r="FV232" s="152"/>
      <c r="FW232" s="152"/>
      <c r="FX232" s="152"/>
    </row>
    <row r="233" spans="1:180" s="150" customFormat="1" ht="32.25" customHeight="1" thickTop="1" thickBot="1" x14ac:dyDescent="0.3">
      <c r="A233" s="307" t="s">
        <v>1314</v>
      </c>
      <c r="B233" s="625" t="s">
        <v>2545</v>
      </c>
      <c r="C233" s="654" t="s">
        <v>1051</v>
      </c>
      <c r="D233" s="482">
        <v>2</v>
      </c>
      <c r="E233" s="482">
        <v>30</v>
      </c>
      <c r="F233" s="482">
        <v>3</v>
      </c>
      <c r="G233" s="482">
        <v>520</v>
      </c>
      <c r="H233" s="483">
        <v>125000000</v>
      </c>
      <c r="I233" s="483">
        <v>124984800</v>
      </c>
      <c r="J233" s="480" t="s">
        <v>1133</v>
      </c>
      <c r="K233" s="423" t="s">
        <v>495</v>
      </c>
      <c r="L233" s="423">
        <v>1</v>
      </c>
      <c r="M233" s="345">
        <v>1</v>
      </c>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c r="BI233" s="152"/>
      <c r="BJ233" s="152"/>
      <c r="BK233" s="152"/>
      <c r="BL233" s="152"/>
      <c r="BM233" s="152"/>
      <c r="BN233" s="152"/>
      <c r="BO233" s="152"/>
      <c r="BP233" s="152"/>
      <c r="BQ233" s="152"/>
      <c r="BR233" s="152"/>
      <c r="BS233" s="152"/>
      <c r="BT233" s="152"/>
      <c r="BU233" s="152"/>
      <c r="BV233" s="152"/>
      <c r="BW233" s="152"/>
      <c r="BX233" s="152"/>
      <c r="BY233" s="152"/>
      <c r="BZ233" s="152"/>
      <c r="CA233" s="152"/>
      <c r="CB233" s="152"/>
      <c r="CC233" s="152"/>
      <c r="CD233" s="152"/>
      <c r="CE233" s="152"/>
      <c r="CF233" s="152"/>
      <c r="CG233" s="152"/>
      <c r="CH233" s="152"/>
      <c r="CI233" s="152"/>
      <c r="CJ233" s="152"/>
      <c r="CK233" s="152"/>
      <c r="CL233" s="152"/>
      <c r="CM233" s="152"/>
      <c r="CN233" s="152"/>
      <c r="CO233" s="152"/>
      <c r="CP233" s="152"/>
      <c r="CQ233" s="152"/>
      <c r="CR233" s="152"/>
      <c r="CS233" s="152"/>
      <c r="CT233" s="152"/>
      <c r="CU233" s="152"/>
      <c r="CV233" s="152"/>
      <c r="CW233" s="152"/>
      <c r="CX233" s="152"/>
      <c r="CY233" s="152"/>
      <c r="CZ233" s="152"/>
      <c r="DA233" s="152"/>
      <c r="DB233" s="152"/>
      <c r="DC233" s="152"/>
      <c r="DD233" s="152"/>
      <c r="DE233" s="152"/>
      <c r="DF233" s="152"/>
      <c r="DG233" s="152"/>
      <c r="DH233" s="152"/>
      <c r="DI233" s="152"/>
      <c r="DJ233" s="152"/>
      <c r="DK233" s="152"/>
      <c r="DL233" s="152"/>
      <c r="DM233" s="152"/>
      <c r="DN233" s="152"/>
      <c r="DO233" s="152"/>
      <c r="DP233" s="152"/>
      <c r="DQ233" s="152"/>
      <c r="DR233" s="152"/>
      <c r="DS233" s="152"/>
      <c r="DT233" s="152"/>
      <c r="DU233" s="152"/>
      <c r="DV233" s="152"/>
      <c r="DW233" s="152"/>
      <c r="DX233" s="152"/>
      <c r="DY233" s="152"/>
      <c r="DZ233" s="152"/>
      <c r="EA233" s="152"/>
      <c r="EB233" s="152"/>
      <c r="EC233" s="152"/>
      <c r="ED233" s="152"/>
      <c r="EE233" s="152"/>
      <c r="EF233" s="152"/>
      <c r="EG233" s="152"/>
      <c r="EH233" s="152"/>
      <c r="EI233" s="152"/>
      <c r="EJ233" s="152"/>
      <c r="EK233" s="152"/>
      <c r="EL233" s="152"/>
      <c r="EM233" s="152"/>
      <c r="EN233" s="152"/>
      <c r="EO233" s="152"/>
      <c r="EP233" s="152"/>
      <c r="EQ233" s="152"/>
      <c r="ER233" s="152"/>
      <c r="ES233" s="152"/>
      <c r="ET233" s="152"/>
      <c r="EU233" s="152"/>
      <c r="EV233" s="152"/>
      <c r="EW233" s="152"/>
      <c r="EX233" s="152"/>
      <c r="EY233" s="152"/>
      <c r="EZ233" s="152"/>
      <c r="FA233" s="152"/>
      <c r="FB233" s="152"/>
      <c r="FC233" s="152"/>
      <c r="FD233" s="152"/>
      <c r="FE233" s="152"/>
      <c r="FF233" s="152"/>
      <c r="FG233" s="152"/>
      <c r="FH233" s="152"/>
      <c r="FI233" s="152"/>
      <c r="FJ233" s="152"/>
      <c r="FK233" s="152"/>
      <c r="FL233" s="152"/>
      <c r="FM233" s="152"/>
      <c r="FN233" s="152"/>
      <c r="FO233" s="152"/>
      <c r="FP233" s="152"/>
      <c r="FQ233" s="152"/>
      <c r="FR233" s="152"/>
      <c r="FS233" s="152"/>
      <c r="FT233" s="152"/>
      <c r="FU233" s="152"/>
      <c r="FV233" s="152"/>
      <c r="FW233" s="152"/>
      <c r="FX233" s="152"/>
    </row>
    <row r="234" spans="1:180" s="150" customFormat="1" ht="28.5" customHeight="1" thickTop="1" thickBot="1" x14ac:dyDescent="0.3">
      <c r="A234" s="307" t="s">
        <v>1314</v>
      </c>
      <c r="B234" s="625" t="s">
        <v>2545</v>
      </c>
      <c r="C234" s="654"/>
      <c r="D234" s="482">
        <v>2</v>
      </c>
      <c r="E234" s="482">
        <v>30</v>
      </c>
      <c r="F234" s="482">
        <v>3</v>
      </c>
      <c r="G234" s="482">
        <v>520</v>
      </c>
      <c r="H234" s="483">
        <f>288820555-36000000</f>
        <v>252820555</v>
      </c>
      <c r="I234" s="483">
        <f>229724239-71493319</f>
        <v>158230920</v>
      </c>
      <c r="J234" s="480" t="s">
        <v>1134</v>
      </c>
      <c r="K234" s="423" t="s">
        <v>55</v>
      </c>
      <c r="L234" s="423">
        <v>3</v>
      </c>
      <c r="M234" s="345">
        <v>2</v>
      </c>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c r="BI234" s="152"/>
      <c r="BJ234" s="152"/>
      <c r="BK234" s="152"/>
      <c r="BL234" s="152"/>
      <c r="BM234" s="152"/>
      <c r="BN234" s="152"/>
      <c r="BO234" s="152"/>
      <c r="BP234" s="152"/>
      <c r="BQ234" s="152"/>
      <c r="BR234" s="152"/>
      <c r="BS234" s="152"/>
      <c r="BT234" s="152"/>
      <c r="BU234" s="152"/>
      <c r="BV234" s="152"/>
      <c r="BW234" s="152"/>
      <c r="BX234" s="152"/>
      <c r="BY234" s="152"/>
      <c r="BZ234" s="152"/>
      <c r="CA234" s="152"/>
      <c r="CB234" s="152"/>
      <c r="CC234" s="152"/>
      <c r="CD234" s="152"/>
      <c r="CE234" s="152"/>
      <c r="CF234" s="152"/>
      <c r="CG234" s="152"/>
      <c r="CH234" s="152"/>
      <c r="CI234" s="152"/>
      <c r="CJ234" s="152"/>
      <c r="CK234" s="152"/>
      <c r="CL234" s="152"/>
      <c r="CM234" s="152"/>
      <c r="CN234" s="152"/>
      <c r="CO234" s="152"/>
      <c r="CP234" s="152"/>
      <c r="CQ234" s="152"/>
      <c r="CR234" s="152"/>
      <c r="CS234" s="152"/>
      <c r="CT234" s="152"/>
      <c r="CU234" s="152"/>
      <c r="CV234" s="152"/>
      <c r="CW234" s="152"/>
      <c r="CX234" s="152"/>
      <c r="CY234" s="152"/>
      <c r="CZ234" s="152"/>
      <c r="DA234" s="152"/>
      <c r="DB234" s="152"/>
      <c r="DC234" s="152"/>
      <c r="DD234" s="152"/>
      <c r="DE234" s="152"/>
      <c r="DF234" s="152"/>
      <c r="DG234" s="152"/>
      <c r="DH234" s="152"/>
      <c r="DI234" s="152"/>
      <c r="DJ234" s="152"/>
      <c r="DK234" s="152"/>
      <c r="DL234" s="152"/>
      <c r="DM234" s="152"/>
      <c r="DN234" s="152"/>
      <c r="DO234" s="152"/>
      <c r="DP234" s="152"/>
      <c r="DQ234" s="152"/>
      <c r="DR234" s="152"/>
      <c r="DS234" s="152"/>
      <c r="DT234" s="152"/>
      <c r="DU234" s="152"/>
      <c r="DV234" s="152"/>
      <c r="DW234" s="152"/>
      <c r="DX234" s="152"/>
      <c r="DY234" s="152"/>
      <c r="DZ234" s="152"/>
      <c r="EA234" s="152"/>
      <c r="EB234" s="152"/>
      <c r="EC234" s="152"/>
      <c r="ED234" s="152"/>
      <c r="EE234" s="152"/>
      <c r="EF234" s="152"/>
      <c r="EG234" s="152"/>
      <c r="EH234" s="152"/>
      <c r="EI234" s="152"/>
      <c r="EJ234" s="152"/>
      <c r="EK234" s="152"/>
      <c r="EL234" s="152"/>
      <c r="EM234" s="152"/>
      <c r="EN234" s="152"/>
      <c r="EO234" s="152"/>
      <c r="EP234" s="152"/>
      <c r="EQ234" s="152"/>
      <c r="ER234" s="152"/>
      <c r="ES234" s="152"/>
      <c r="ET234" s="152"/>
      <c r="EU234" s="152"/>
      <c r="EV234" s="152"/>
      <c r="EW234" s="152"/>
      <c r="EX234" s="152"/>
      <c r="EY234" s="152"/>
      <c r="EZ234" s="152"/>
      <c r="FA234" s="152"/>
      <c r="FB234" s="152"/>
      <c r="FC234" s="152"/>
      <c r="FD234" s="152"/>
      <c r="FE234" s="152"/>
      <c r="FF234" s="152"/>
      <c r="FG234" s="152"/>
      <c r="FH234" s="152"/>
      <c r="FI234" s="152"/>
      <c r="FJ234" s="152"/>
      <c r="FK234" s="152"/>
      <c r="FL234" s="152"/>
      <c r="FM234" s="152"/>
      <c r="FN234" s="152"/>
      <c r="FO234" s="152"/>
      <c r="FP234" s="152"/>
      <c r="FQ234" s="152"/>
      <c r="FR234" s="152"/>
      <c r="FS234" s="152"/>
      <c r="FT234" s="152"/>
      <c r="FU234" s="152"/>
      <c r="FV234" s="152"/>
      <c r="FW234" s="152"/>
      <c r="FX234" s="152"/>
    </row>
    <row r="235" spans="1:180" s="150" customFormat="1" ht="28.5" customHeight="1" thickTop="1" thickBot="1" x14ac:dyDescent="0.3">
      <c r="A235" s="307" t="s">
        <v>1314</v>
      </c>
      <c r="B235" s="625" t="s">
        <v>2545</v>
      </c>
      <c r="C235" s="654"/>
      <c r="D235" s="482">
        <v>2</v>
      </c>
      <c r="E235" s="482">
        <v>30</v>
      </c>
      <c r="F235" s="482">
        <v>3</v>
      </c>
      <c r="G235" s="482">
        <v>520</v>
      </c>
      <c r="H235" s="483">
        <f>110000000-15000000</f>
        <v>95000000</v>
      </c>
      <c r="I235" s="483">
        <v>0</v>
      </c>
      <c r="J235" s="480" t="s">
        <v>1135</v>
      </c>
      <c r="K235" s="423" t="s">
        <v>103</v>
      </c>
      <c r="L235" s="423">
        <v>2</v>
      </c>
      <c r="M235" s="345">
        <v>0</v>
      </c>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c r="BI235" s="152"/>
      <c r="BJ235" s="152"/>
      <c r="BK235" s="152"/>
      <c r="BL235" s="152"/>
      <c r="BM235" s="152"/>
      <c r="BN235" s="152"/>
      <c r="BO235" s="152"/>
      <c r="BP235" s="152"/>
      <c r="BQ235" s="152"/>
      <c r="BR235" s="152"/>
      <c r="BS235" s="152"/>
      <c r="BT235" s="152"/>
      <c r="BU235" s="152"/>
      <c r="BV235" s="152"/>
      <c r="BW235" s="152"/>
      <c r="BX235" s="152"/>
      <c r="BY235" s="152"/>
      <c r="BZ235" s="152"/>
      <c r="CA235" s="152"/>
      <c r="CB235" s="152"/>
      <c r="CC235" s="152"/>
      <c r="CD235" s="152"/>
      <c r="CE235" s="152"/>
      <c r="CF235" s="152"/>
      <c r="CG235" s="152"/>
      <c r="CH235" s="152"/>
      <c r="CI235" s="152"/>
      <c r="CJ235" s="152"/>
      <c r="CK235" s="152"/>
      <c r="CL235" s="152"/>
      <c r="CM235" s="152"/>
      <c r="CN235" s="152"/>
      <c r="CO235" s="152"/>
      <c r="CP235" s="152"/>
      <c r="CQ235" s="152"/>
      <c r="CR235" s="152"/>
      <c r="CS235" s="152"/>
      <c r="CT235" s="152"/>
      <c r="CU235" s="152"/>
      <c r="CV235" s="152"/>
      <c r="CW235" s="152"/>
      <c r="CX235" s="152"/>
      <c r="CY235" s="152"/>
      <c r="CZ235" s="152"/>
      <c r="DA235" s="152"/>
      <c r="DB235" s="152"/>
      <c r="DC235" s="152"/>
      <c r="DD235" s="152"/>
      <c r="DE235" s="152"/>
      <c r="DF235" s="152"/>
      <c r="DG235" s="152"/>
      <c r="DH235" s="152"/>
      <c r="DI235" s="152"/>
      <c r="DJ235" s="152"/>
      <c r="DK235" s="152"/>
      <c r="DL235" s="152"/>
      <c r="DM235" s="152"/>
      <c r="DN235" s="152"/>
      <c r="DO235" s="152"/>
      <c r="DP235" s="152"/>
      <c r="DQ235" s="152"/>
      <c r="DR235" s="152"/>
      <c r="DS235" s="152"/>
      <c r="DT235" s="152"/>
      <c r="DU235" s="152"/>
      <c r="DV235" s="152"/>
      <c r="DW235" s="152"/>
      <c r="DX235" s="152"/>
      <c r="DY235" s="152"/>
      <c r="DZ235" s="152"/>
      <c r="EA235" s="152"/>
      <c r="EB235" s="152"/>
      <c r="EC235" s="152"/>
      <c r="ED235" s="152"/>
      <c r="EE235" s="152"/>
      <c r="EF235" s="152"/>
      <c r="EG235" s="152"/>
      <c r="EH235" s="152"/>
      <c r="EI235" s="152"/>
      <c r="EJ235" s="152"/>
      <c r="EK235" s="152"/>
      <c r="EL235" s="152"/>
      <c r="EM235" s="152"/>
      <c r="EN235" s="152"/>
      <c r="EO235" s="152"/>
      <c r="EP235" s="152"/>
      <c r="EQ235" s="152"/>
      <c r="ER235" s="152"/>
      <c r="ES235" s="152"/>
      <c r="ET235" s="152"/>
      <c r="EU235" s="152"/>
      <c r="EV235" s="152"/>
      <c r="EW235" s="152"/>
      <c r="EX235" s="152"/>
      <c r="EY235" s="152"/>
      <c r="EZ235" s="152"/>
      <c r="FA235" s="152"/>
      <c r="FB235" s="152"/>
      <c r="FC235" s="152"/>
      <c r="FD235" s="152"/>
      <c r="FE235" s="152"/>
      <c r="FF235" s="152"/>
      <c r="FG235" s="152"/>
      <c r="FH235" s="152"/>
      <c r="FI235" s="152"/>
      <c r="FJ235" s="152"/>
      <c r="FK235" s="152"/>
      <c r="FL235" s="152"/>
      <c r="FM235" s="152"/>
      <c r="FN235" s="152"/>
      <c r="FO235" s="152"/>
      <c r="FP235" s="152"/>
      <c r="FQ235" s="152"/>
      <c r="FR235" s="152"/>
      <c r="FS235" s="152"/>
      <c r="FT235" s="152"/>
      <c r="FU235" s="152"/>
      <c r="FV235" s="152"/>
      <c r="FW235" s="152"/>
      <c r="FX235" s="152"/>
    </row>
    <row r="236" spans="1:180" s="150" customFormat="1" ht="28.5" customHeight="1" thickTop="1" thickBot="1" x14ac:dyDescent="0.3">
      <c r="A236" s="307" t="s">
        <v>1314</v>
      </c>
      <c r="B236" s="625" t="s">
        <v>2545</v>
      </c>
      <c r="C236" s="654"/>
      <c r="D236" s="482">
        <v>2</v>
      </c>
      <c r="E236" s="482">
        <v>30</v>
      </c>
      <c r="F236" s="482">
        <v>3</v>
      </c>
      <c r="G236" s="482">
        <v>520</v>
      </c>
      <c r="H236" s="483">
        <v>15000000</v>
      </c>
      <c r="I236" s="483">
        <v>14999300</v>
      </c>
      <c r="J236" s="480" t="s">
        <v>1136</v>
      </c>
      <c r="K236" s="423" t="s">
        <v>103</v>
      </c>
      <c r="L236" s="423">
        <v>1</v>
      </c>
      <c r="M236" s="345">
        <v>1</v>
      </c>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c r="BI236" s="152"/>
      <c r="BJ236" s="152"/>
      <c r="BK236" s="152"/>
      <c r="BL236" s="152"/>
      <c r="BM236" s="152"/>
      <c r="BN236" s="152"/>
      <c r="BO236" s="152"/>
      <c r="BP236" s="152"/>
      <c r="BQ236" s="152"/>
      <c r="BR236" s="152"/>
      <c r="BS236" s="152"/>
      <c r="BT236" s="152"/>
      <c r="BU236" s="152"/>
      <c r="BV236" s="152"/>
      <c r="BW236" s="152"/>
      <c r="BX236" s="152"/>
      <c r="BY236" s="152"/>
      <c r="BZ236" s="152"/>
      <c r="CA236" s="152"/>
      <c r="CB236" s="152"/>
      <c r="CC236" s="152"/>
      <c r="CD236" s="152"/>
      <c r="CE236" s="152"/>
      <c r="CF236" s="152"/>
      <c r="CG236" s="152"/>
      <c r="CH236" s="152"/>
      <c r="CI236" s="152"/>
      <c r="CJ236" s="152"/>
      <c r="CK236" s="152"/>
      <c r="CL236" s="152"/>
      <c r="CM236" s="152"/>
      <c r="CN236" s="152"/>
      <c r="CO236" s="152"/>
      <c r="CP236" s="152"/>
      <c r="CQ236" s="152"/>
      <c r="CR236" s="152"/>
      <c r="CS236" s="152"/>
      <c r="CT236" s="152"/>
      <c r="CU236" s="152"/>
      <c r="CV236" s="152"/>
      <c r="CW236" s="152"/>
      <c r="CX236" s="152"/>
      <c r="CY236" s="152"/>
      <c r="CZ236" s="152"/>
      <c r="DA236" s="152"/>
      <c r="DB236" s="152"/>
      <c r="DC236" s="152"/>
      <c r="DD236" s="152"/>
      <c r="DE236" s="152"/>
      <c r="DF236" s="152"/>
      <c r="DG236" s="152"/>
      <c r="DH236" s="152"/>
      <c r="DI236" s="152"/>
      <c r="DJ236" s="152"/>
      <c r="DK236" s="152"/>
      <c r="DL236" s="152"/>
      <c r="DM236" s="152"/>
      <c r="DN236" s="152"/>
      <c r="DO236" s="152"/>
      <c r="DP236" s="152"/>
      <c r="DQ236" s="152"/>
      <c r="DR236" s="152"/>
      <c r="DS236" s="152"/>
      <c r="DT236" s="152"/>
      <c r="DU236" s="152"/>
      <c r="DV236" s="152"/>
      <c r="DW236" s="152"/>
      <c r="DX236" s="152"/>
      <c r="DY236" s="152"/>
      <c r="DZ236" s="152"/>
      <c r="EA236" s="152"/>
      <c r="EB236" s="152"/>
      <c r="EC236" s="152"/>
      <c r="ED236" s="152"/>
      <c r="EE236" s="152"/>
      <c r="EF236" s="152"/>
      <c r="EG236" s="152"/>
      <c r="EH236" s="152"/>
      <c r="EI236" s="152"/>
      <c r="EJ236" s="152"/>
      <c r="EK236" s="152"/>
      <c r="EL236" s="152"/>
      <c r="EM236" s="152"/>
      <c r="EN236" s="152"/>
      <c r="EO236" s="152"/>
      <c r="EP236" s="152"/>
      <c r="EQ236" s="152"/>
      <c r="ER236" s="152"/>
      <c r="ES236" s="152"/>
      <c r="ET236" s="152"/>
      <c r="EU236" s="152"/>
      <c r="EV236" s="152"/>
      <c r="EW236" s="152"/>
      <c r="EX236" s="152"/>
      <c r="EY236" s="152"/>
      <c r="EZ236" s="152"/>
      <c r="FA236" s="152"/>
      <c r="FB236" s="152"/>
      <c r="FC236" s="152"/>
      <c r="FD236" s="152"/>
      <c r="FE236" s="152"/>
      <c r="FF236" s="152"/>
      <c r="FG236" s="152"/>
      <c r="FH236" s="152"/>
      <c r="FI236" s="152"/>
      <c r="FJ236" s="152"/>
      <c r="FK236" s="152"/>
      <c r="FL236" s="152"/>
      <c r="FM236" s="152"/>
      <c r="FN236" s="152"/>
      <c r="FO236" s="152"/>
      <c r="FP236" s="152"/>
      <c r="FQ236" s="152"/>
      <c r="FR236" s="152"/>
      <c r="FS236" s="152"/>
      <c r="FT236" s="152"/>
      <c r="FU236" s="152"/>
      <c r="FV236" s="152"/>
      <c r="FW236" s="152"/>
      <c r="FX236" s="152"/>
    </row>
    <row r="237" spans="1:180" s="150" customFormat="1" ht="35.25" thickTop="1" thickBot="1" x14ac:dyDescent="0.3">
      <c r="A237" s="307" t="s">
        <v>1314</v>
      </c>
      <c r="B237" s="625" t="s">
        <v>2545</v>
      </c>
      <c r="C237" s="654"/>
      <c r="D237" s="482">
        <v>2</v>
      </c>
      <c r="E237" s="482">
        <v>30</v>
      </c>
      <c r="F237" s="482">
        <v>3</v>
      </c>
      <c r="G237" s="482">
        <v>520</v>
      </c>
      <c r="H237" s="483">
        <v>58000000</v>
      </c>
      <c r="I237" s="483">
        <v>57907600</v>
      </c>
      <c r="J237" s="480" t="s">
        <v>1137</v>
      </c>
      <c r="K237" s="423" t="s">
        <v>1131</v>
      </c>
      <c r="L237" s="423">
        <v>1</v>
      </c>
      <c r="M237" s="345">
        <v>1</v>
      </c>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c r="BI237" s="152"/>
      <c r="BJ237" s="152"/>
      <c r="BK237" s="152"/>
      <c r="BL237" s="152"/>
      <c r="BM237" s="152"/>
      <c r="BN237" s="152"/>
      <c r="BO237" s="152"/>
      <c r="BP237" s="152"/>
      <c r="BQ237" s="152"/>
      <c r="BR237" s="152"/>
      <c r="BS237" s="152"/>
      <c r="BT237" s="152"/>
      <c r="BU237" s="152"/>
      <c r="BV237" s="152"/>
      <c r="BW237" s="152"/>
      <c r="BX237" s="152"/>
      <c r="BY237" s="152"/>
      <c r="BZ237" s="152"/>
      <c r="CA237" s="152"/>
      <c r="CB237" s="152"/>
      <c r="CC237" s="152"/>
      <c r="CD237" s="152"/>
      <c r="CE237" s="152"/>
      <c r="CF237" s="152"/>
      <c r="CG237" s="152"/>
      <c r="CH237" s="152"/>
      <c r="CI237" s="152"/>
      <c r="CJ237" s="152"/>
      <c r="CK237" s="152"/>
      <c r="CL237" s="152"/>
      <c r="CM237" s="152"/>
      <c r="CN237" s="152"/>
      <c r="CO237" s="152"/>
      <c r="CP237" s="152"/>
      <c r="CQ237" s="152"/>
      <c r="CR237" s="152"/>
      <c r="CS237" s="152"/>
      <c r="CT237" s="152"/>
      <c r="CU237" s="152"/>
      <c r="CV237" s="152"/>
      <c r="CW237" s="152"/>
      <c r="CX237" s="152"/>
      <c r="CY237" s="152"/>
      <c r="CZ237" s="152"/>
      <c r="DA237" s="152"/>
      <c r="DB237" s="152"/>
      <c r="DC237" s="152"/>
      <c r="DD237" s="152"/>
      <c r="DE237" s="152"/>
      <c r="DF237" s="152"/>
      <c r="DG237" s="152"/>
      <c r="DH237" s="152"/>
      <c r="DI237" s="152"/>
      <c r="DJ237" s="152"/>
      <c r="DK237" s="152"/>
      <c r="DL237" s="152"/>
      <c r="DM237" s="152"/>
      <c r="DN237" s="152"/>
      <c r="DO237" s="152"/>
      <c r="DP237" s="152"/>
      <c r="DQ237" s="152"/>
      <c r="DR237" s="152"/>
      <c r="DS237" s="152"/>
      <c r="DT237" s="152"/>
      <c r="DU237" s="152"/>
      <c r="DV237" s="152"/>
      <c r="DW237" s="152"/>
      <c r="DX237" s="152"/>
      <c r="DY237" s="152"/>
      <c r="DZ237" s="152"/>
      <c r="EA237" s="152"/>
      <c r="EB237" s="152"/>
      <c r="EC237" s="152"/>
      <c r="ED237" s="152"/>
      <c r="EE237" s="152"/>
      <c r="EF237" s="152"/>
      <c r="EG237" s="152"/>
      <c r="EH237" s="152"/>
      <c r="EI237" s="152"/>
      <c r="EJ237" s="152"/>
      <c r="EK237" s="152"/>
      <c r="EL237" s="152"/>
      <c r="EM237" s="152"/>
      <c r="EN237" s="152"/>
      <c r="EO237" s="152"/>
      <c r="EP237" s="152"/>
      <c r="EQ237" s="152"/>
      <c r="ER237" s="152"/>
      <c r="ES237" s="152"/>
      <c r="ET237" s="152"/>
      <c r="EU237" s="152"/>
      <c r="EV237" s="152"/>
      <c r="EW237" s="152"/>
      <c r="EX237" s="152"/>
      <c r="EY237" s="152"/>
      <c r="EZ237" s="152"/>
      <c r="FA237" s="152"/>
      <c r="FB237" s="152"/>
      <c r="FC237" s="152"/>
      <c r="FD237" s="152"/>
      <c r="FE237" s="152"/>
      <c r="FF237" s="152"/>
      <c r="FG237" s="152"/>
      <c r="FH237" s="152"/>
      <c r="FI237" s="152"/>
      <c r="FJ237" s="152"/>
      <c r="FK237" s="152"/>
      <c r="FL237" s="152"/>
      <c r="FM237" s="152"/>
      <c r="FN237" s="152"/>
      <c r="FO237" s="152"/>
      <c r="FP237" s="152"/>
      <c r="FQ237" s="152"/>
      <c r="FR237" s="152"/>
      <c r="FS237" s="152"/>
      <c r="FT237" s="152"/>
      <c r="FU237" s="152"/>
      <c r="FV237" s="152"/>
      <c r="FW237" s="152"/>
      <c r="FX237" s="152"/>
    </row>
    <row r="238" spans="1:180" s="150" customFormat="1" ht="27.75" customHeight="1" thickTop="1" thickBot="1" x14ac:dyDescent="0.3">
      <c r="A238" s="307" t="s">
        <v>1314</v>
      </c>
      <c r="B238" s="625" t="s">
        <v>2545</v>
      </c>
      <c r="C238" s="654"/>
      <c r="D238" s="482">
        <v>2</v>
      </c>
      <c r="E238" s="482">
        <v>30</v>
      </c>
      <c r="F238" s="482">
        <v>3</v>
      </c>
      <c r="G238" s="482">
        <v>520</v>
      </c>
      <c r="H238" s="483">
        <v>123000000</v>
      </c>
      <c r="I238" s="483">
        <v>51040000</v>
      </c>
      <c r="J238" s="480" t="s">
        <v>1138</v>
      </c>
      <c r="K238" s="423" t="s">
        <v>11</v>
      </c>
      <c r="L238" s="423">
        <v>2730</v>
      </c>
      <c r="M238" s="423">
        <v>1134</v>
      </c>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c r="BI238" s="152"/>
      <c r="BJ238" s="152"/>
      <c r="BK238" s="152"/>
      <c r="BL238" s="152"/>
      <c r="BM238" s="152"/>
      <c r="BN238" s="152"/>
      <c r="BO238" s="152"/>
      <c r="BP238" s="152"/>
      <c r="BQ238" s="152"/>
      <c r="BR238" s="152"/>
      <c r="BS238" s="152"/>
      <c r="BT238" s="152"/>
      <c r="BU238" s="152"/>
      <c r="BV238" s="152"/>
      <c r="BW238" s="152"/>
      <c r="BX238" s="152"/>
      <c r="BY238" s="152"/>
      <c r="BZ238" s="152"/>
      <c r="CA238" s="152"/>
      <c r="CB238" s="152"/>
      <c r="CC238" s="152"/>
      <c r="CD238" s="152"/>
      <c r="CE238" s="152"/>
      <c r="CF238" s="152"/>
      <c r="CG238" s="152"/>
      <c r="CH238" s="152"/>
      <c r="CI238" s="152"/>
      <c r="CJ238" s="152"/>
      <c r="CK238" s="152"/>
      <c r="CL238" s="152"/>
      <c r="CM238" s="152"/>
      <c r="CN238" s="152"/>
      <c r="CO238" s="152"/>
      <c r="CP238" s="152"/>
      <c r="CQ238" s="152"/>
      <c r="CR238" s="152"/>
      <c r="CS238" s="152"/>
      <c r="CT238" s="152"/>
      <c r="CU238" s="152"/>
      <c r="CV238" s="152"/>
      <c r="CW238" s="152"/>
      <c r="CX238" s="152"/>
      <c r="CY238" s="152"/>
      <c r="CZ238" s="152"/>
      <c r="DA238" s="152"/>
      <c r="DB238" s="152"/>
      <c r="DC238" s="152"/>
      <c r="DD238" s="152"/>
      <c r="DE238" s="152"/>
      <c r="DF238" s="152"/>
      <c r="DG238" s="152"/>
      <c r="DH238" s="152"/>
      <c r="DI238" s="152"/>
      <c r="DJ238" s="152"/>
      <c r="DK238" s="152"/>
      <c r="DL238" s="152"/>
      <c r="DM238" s="152"/>
      <c r="DN238" s="152"/>
      <c r="DO238" s="152"/>
      <c r="DP238" s="152"/>
      <c r="DQ238" s="152"/>
      <c r="DR238" s="152"/>
      <c r="DS238" s="152"/>
      <c r="DT238" s="152"/>
      <c r="DU238" s="152"/>
      <c r="DV238" s="152"/>
      <c r="DW238" s="152"/>
      <c r="DX238" s="152"/>
      <c r="DY238" s="152"/>
      <c r="DZ238" s="152"/>
      <c r="EA238" s="152"/>
      <c r="EB238" s="152"/>
      <c r="EC238" s="152"/>
      <c r="ED238" s="152"/>
      <c r="EE238" s="152"/>
      <c r="EF238" s="152"/>
      <c r="EG238" s="152"/>
      <c r="EH238" s="152"/>
      <c r="EI238" s="152"/>
      <c r="EJ238" s="152"/>
      <c r="EK238" s="152"/>
      <c r="EL238" s="152"/>
      <c r="EM238" s="152"/>
      <c r="EN238" s="152"/>
      <c r="EO238" s="152"/>
      <c r="EP238" s="152"/>
      <c r="EQ238" s="152"/>
      <c r="ER238" s="152"/>
      <c r="ES238" s="152"/>
      <c r="ET238" s="152"/>
      <c r="EU238" s="152"/>
      <c r="EV238" s="152"/>
      <c r="EW238" s="152"/>
      <c r="EX238" s="152"/>
      <c r="EY238" s="152"/>
      <c r="EZ238" s="152"/>
      <c r="FA238" s="152"/>
      <c r="FB238" s="152"/>
      <c r="FC238" s="152"/>
      <c r="FD238" s="152"/>
      <c r="FE238" s="152"/>
      <c r="FF238" s="152"/>
      <c r="FG238" s="152"/>
      <c r="FH238" s="152"/>
      <c r="FI238" s="152"/>
      <c r="FJ238" s="152"/>
      <c r="FK238" s="152"/>
      <c r="FL238" s="152"/>
      <c r="FM238" s="152"/>
      <c r="FN238" s="152"/>
      <c r="FO238" s="152"/>
      <c r="FP238" s="152"/>
      <c r="FQ238" s="152"/>
      <c r="FR238" s="152"/>
      <c r="FS238" s="152"/>
      <c r="FT238" s="152"/>
      <c r="FU238" s="152"/>
      <c r="FV238" s="152"/>
      <c r="FW238" s="152"/>
      <c r="FX238" s="152"/>
    </row>
    <row r="239" spans="1:180" s="150" customFormat="1" ht="37.5" customHeight="1" thickTop="1" thickBot="1" x14ac:dyDescent="0.3">
      <c r="A239" s="307" t="s">
        <v>1314</v>
      </c>
      <c r="B239" s="625" t="s">
        <v>2545</v>
      </c>
      <c r="C239" s="654" t="s">
        <v>1074</v>
      </c>
      <c r="D239" s="482">
        <v>2</v>
      </c>
      <c r="E239" s="482">
        <v>30</v>
      </c>
      <c r="F239" s="482">
        <v>3</v>
      </c>
      <c r="G239" s="482">
        <v>530</v>
      </c>
      <c r="H239" s="483">
        <v>50000000</v>
      </c>
      <c r="I239" s="483">
        <v>40000000</v>
      </c>
      <c r="J239" s="480" t="s">
        <v>1139</v>
      </c>
      <c r="K239" s="360" t="s">
        <v>1140</v>
      </c>
      <c r="L239" s="423">
        <v>10</v>
      </c>
      <c r="M239" s="423">
        <v>8</v>
      </c>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c r="BI239" s="152"/>
      <c r="BJ239" s="152"/>
      <c r="BK239" s="152"/>
      <c r="BL239" s="152"/>
      <c r="BM239" s="152"/>
      <c r="BN239" s="152"/>
      <c r="BO239" s="152"/>
      <c r="BP239" s="152"/>
      <c r="BQ239" s="152"/>
      <c r="BR239" s="152"/>
      <c r="BS239" s="152"/>
      <c r="BT239" s="152"/>
      <c r="BU239" s="152"/>
      <c r="BV239" s="152"/>
      <c r="BW239" s="152"/>
      <c r="BX239" s="152"/>
      <c r="BY239" s="152"/>
      <c r="BZ239" s="152"/>
      <c r="CA239" s="152"/>
      <c r="CB239" s="152"/>
      <c r="CC239" s="152"/>
      <c r="CD239" s="152"/>
      <c r="CE239" s="152"/>
      <c r="CF239" s="152"/>
      <c r="CG239" s="152"/>
      <c r="CH239" s="152"/>
      <c r="CI239" s="152"/>
      <c r="CJ239" s="152"/>
      <c r="CK239" s="152"/>
      <c r="CL239" s="152"/>
      <c r="CM239" s="152"/>
      <c r="CN239" s="152"/>
      <c r="CO239" s="152"/>
      <c r="CP239" s="152"/>
      <c r="CQ239" s="152"/>
      <c r="CR239" s="152"/>
      <c r="CS239" s="152"/>
      <c r="CT239" s="152"/>
      <c r="CU239" s="152"/>
      <c r="CV239" s="152"/>
      <c r="CW239" s="152"/>
      <c r="CX239" s="152"/>
      <c r="CY239" s="152"/>
      <c r="CZ239" s="152"/>
      <c r="DA239" s="152"/>
      <c r="DB239" s="152"/>
      <c r="DC239" s="152"/>
      <c r="DD239" s="152"/>
      <c r="DE239" s="152"/>
      <c r="DF239" s="152"/>
      <c r="DG239" s="152"/>
      <c r="DH239" s="152"/>
      <c r="DI239" s="152"/>
      <c r="DJ239" s="152"/>
      <c r="DK239" s="152"/>
      <c r="DL239" s="152"/>
      <c r="DM239" s="152"/>
      <c r="DN239" s="152"/>
      <c r="DO239" s="152"/>
      <c r="DP239" s="152"/>
      <c r="DQ239" s="152"/>
      <c r="DR239" s="152"/>
      <c r="DS239" s="152"/>
      <c r="DT239" s="152"/>
      <c r="DU239" s="152"/>
      <c r="DV239" s="152"/>
      <c r="DW239" s="152"/>
      <c r="DX239" s="152"/>
      <c r="DY239" s="152"/>
      <c r="DZ239" s="152"/>
      <c r="EA239" s="152"/>
      <c r="EB239" s="152"/>
      <c r="EC239" s="152"/>
      <c r="ED239" s="152"/>
      <c r="EE239" s="152"/>
      <c r="EF239" s="152"/>
      <c r="EG239" s="152"/>
      <c r="EH239" s="152"/>
      <c r="EI239" s="152"/>
      <c r="EJ239" s="152"/>
      <c r="EK239" s="152"/>
      <c r="EL239" s="152"/>
      <c r="EM239" s="152"/>
      <c r="EN239" s="152"/>
      <c r="EO239" s="152"/>
      <c r="EP239" s="152"/>
      <c r="EQ239" s="152"/>
      <c r="ER239" s="152"/>
      <c r="ES239" s="152"/>
      <c r="ET239" s="152"/>
      <c r="EU239" s="152"/>
      <c r="EV239" s="152"/>
      <c r="EW239" s="152"/>
      <c r="EX239" s="152"/>
      <c r="EY239" s="152"/>
      <c r="EZ239" s="152"/>
      <c r="FA239" s="152"/>
      <c r="FB239" s="152"/>
      <c r="FC239" s="152"/>
      <c r="FD239" s="152"/>
      <c r="FE239" s="152"/>
      <c r="FF239" s="152"/>
      <c r="FG239" s="152"/>
      <c r="FH239" s="152"/>
      <c r="FI239" s="152"/>
      <c r="FJ239" s="152"/>
      <c r="FK239" s="152"/>
      <c r="FL239" s="152"/>
      <c r="FM239" s="152"/>
      <c r="FN239" s="152"/>
      <c r="FO239" s="152"/>
      <c r="FP239" s="152"/>
      <c r="FQ239" s="152"/>
      <c r="FR239" s="152"/>
      <c r="FS239" s="152"/>
      <c r="FT239" s="152"/>
      <c r="FU239" s="152"/>
      <c r="FV239" s="152"/>
      <c r="FW239" s="152"/>
      <c r="FX239" s="152"/>
    </row>
    <row r="240" spans="1:180" s="150" customFormat="1" ht="31.5" customHeight="1" thickTop="1" thickBot="1" x14ac:dyDescent="0.3">
      <c r="A240" s="307" t="s">
        <v>1314</v>
      </c>
      <c r="B240" s="625" t="s">
        <v>2545</v>
      </c>
      <c r="C240" s="654"/>
      <c r="D240" s="482">
        <v>2</v>
      </c>
      <c r="E240" s="482">
        <v>30</v>
      </c>
      <c r="F240" s="482">
        <v>3</v>
      </c>
      <c r="G240" s="482">
        <v>540</v>
      </c>
      <c r="H240" s="483">
        <v>24703330</v>
      </c>
      <c r="I240" s="483">
        <v>0</v>
      </c>
      <c r="J240" s="480" t="s">
        <v>1141</v>
      </c>
      <c r="K240" s="340" t="s">
        <v>1142</v>
      </c>
      <c r="L240" s="423">
        <v>10</v>
      </c>
      <c r="M240" s="423">
        <v>0</v>
      </c>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c r="BI240" s="152"/>
      <c r="BJ240" s="152"/>
      <c r="BK240" s="152"/>
      <c r="BL240" s="152"/>
      <c r="BM240" s="152"/>
      <c r="BN240" s="152"/>
      <c r="BO240" s="152"/>
      <c r="BP240" s="152"/>
      <c r="BQ240" s="152"/>
      <c r="BR240" s="152"/>
      <c r="BS240" s="152"/>
      <c r="BT240" s="152"/>
      <c r="BU240" s="152"/>
      <c r="BV240" s="152"/>
      <c r="BW240" s="152"/>
      <c r="BX240" s="152"/>
      <c r="BY240" s="152"/>
      <c r="BZ240" s="152"/>
      <c r="CA240" s="152"/>
      <c r="CB240" s="152"/>
      <c r="CC240" s="152"/>
      <c r="CD240" s="152"/>
      <c r="CE240" s="152"/>
      <c r="CF240" s="152"/>
      <c r="CG240" s="152"/>
      <c r="CH240" s="152"/>
      <c r="CI240" s="152"/>
      <c r="CJ240" s="152"/>
      <c r="CK240" s="152"/>
      <c r="CL240" s="152"/>
      <c r="CM240" s="152"/>
      <c r="CN240" s="152"/>
      <c r="CO240" s="152"/>
      <c r="CP240" s="152"/>
      <c r="CQ240" s="152"/>
      <c r="CR240" s="152"/>
      <c r="CS240" s="152"/>
      <c r="CT240" s="152"/>
      <c r="CU240" s="152"/>
      <c r="CV240" s="152"/>
      <c r="CW240" s="152"/>
      <c r="CX240" s="152"/>
      <c r="CY240" s="152"/>
      <c r="CZ240" s="152"/>
      <c r="DA240" s="152"/>
      <c r="DB240" s="152"/>
      <c r="DC240" s="152"/>
      <c r="DD240" s="152"/>
      <c r="DE240" s="152"/>
      <c r="DF240" s="152"/>
      <c r="DG240" s="152"/>
      <c r="DH240" s="152"/>
      <c r="DI240" s="152"/>
      <c r="DJ240" s="152"/>
      <c r="DK240" s="152"/>
      <c r="DL240" s="152"/>
      <c r="DM240" s="152"/>
      <c r="DN240" s="152"/>
      <c r="DO240" s="152"/>
      <c r="DP240" s="152"/>
      <c r="DQ240" s="152"/>
      <c r="DR240" s="152"/>
      <c r="DS240" s="152"/>
      <c r="DT240" s="152"/>
      <c r="DU240" s="152"/>
      <c r="DV240" s="152"/>
      <c r="DW240" s="152"/>
      <c r="DX240" s="152"/>
      <c r="DY240" s="152"/>
      <c r="DZ240" s="152"/>
      <c r="EA240" s="152"/>
      <c r="EB240" s="152"/>
      <c r="EC240" s="152"/>
      <c r="ED240" s="152"/>
      <c r="EE240" s="152"/>
      <c r="EF240" s="152"/>
      <c r="EG240" s="152"/>
      <c r="EH240" s="152"/>
      <c r="EI240" s="152"/>
      <c r="EJ240" s="152"/>
      <c r="EK240" s="152"/>
      <c r="EL240" s="152"/>
      <c r="EM240" s="152"/>
      <c r="EN240" s="152"/>
      <c r="EO240" s="152"/>
      <c r="EP240" s="152"/>
      <c r="EQ240" s="152"/>
      <c r="ER240" s="152"/>
      <c r="ES240" s="152"/>
      <c r="ET240" s="152"/>
      <c r="EU240" s="152"/>
      <c r="EV240" s="152"/>
      <c r="EW240" s="152"/>
      <c r="EX240" s="152"/>
      <c r="EY240" s="152"/>
      <c r="EZ240" s="152"/>
      <c r="FA240" s="152"/>
      <c r="FB240" s="152"/>
      <c r="FC240" s="152"/>
      <c r="FD240" s="152"/>
      <c r="FE240" s="152"/>
      <c r="FF240" s="152"/>
      <c r="FG240" s="152"/>
      <c r="FH240" s="152"/>
      <c r="FI240" s="152"/>
      <c r="FJ240" s="152"/>
      <c r="FK240" s="152"/>
      <c r="FL240" s="152"/>
      <c r="FM240" s="152"/>
      <c r="FN240" s="152"/>
      <c r="FO240" s="152"/>
      <c r="FP240" s="152"/>
      <c r="FQ240" s="152"/>
      <c r="FR240" s="152"/>
      <c r="FS240" s="152"/>
      <c r="FT240" s="152"/>
      <c r="FU240" s="152"/>
      <c r="FV240" s="152"/>
      <c r="FW240" s="152"/>
      <c r="FX240" s="152"/>
    </row>
    <row r="241" spans="1:180" s="153" customFormat="1" ht="18" customHeight="1" thickTop="1" thickBot="1" x14ac:dyDescent="0.3">
      <c r="A241" s="439"/>
      <c r="B241" s="481"/>
      <c r="C241" s="158"/>
      <c r="D241" s="474"/>
      <c r="E241" s="474"/>
      <c r="F241" s="474"/>
      <c r="G241" s="474"/>
      <c r="H241" s="471"/>
      <c r="I241" s="471"/>
      <c r="J241" s="165"/>
      <c r="K241" s="165"/>
      <c r="L241" s="165"/>
      <c r="M241" s="165"/>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161"/>
      <c r="BB241" s="161"/>
      <c r="BC241" s="161"/>
      <c r="BD241" s="161"/>
      <c r="BE241" s="161"/>
      <c r="BF241" s="161"/>
      <c r="BG241" s="161"/>
      <c r="BH241" s="161"/>
      <c r="BI241" s="161"/>
      <c r="BJ241" s="161"/>
      <c r="BK241" s="161"/>
      <c r="BL241" s="161"/>
      <c r="BM241" s="161"/>
      <c r="BN241" s="161"/>
      <c r="BO241" s="161"/>
      <c r="BP241" s="161"/>
      <c r="BQ241" s="161"/>
      <c r="BR241" s="161"/>
      <c r="BS241" s="161"/>
      <c r="BT241" s="161"/>
      <c r="BU241" s="161"/>
      <c r="BV241" s="161"/>
      <c r="BW241" s="161"/>
      <c r="BX241" s="161"/>
      <c r="BY241" s="161"/>
      <c r="BZ241" s="161"/>
      <c r="CA241" s="161"/>
      <c r="CB241" s="161"/>
      <c r="CC241" s="161"/>
      <c r="CD241" s="161"/>
      <c r="CE241" s="161"/>
      <c r="CF241" s="161"/>
      <c r="CG241" s="161"/>
      <c r="CH241" s="161"/>
      <c r="CI241" s="161"/>
      <c r="CJ241" s="161"/>
      <c r="CK241" s="161"/>
      <c r="CL241" s="161"/>
      <c r="CM241" s="161"/>
      <c r="CN241" s="161"/>
      <c r="CO241" s="161"/>
      <c r="CP241" s="161"/>
      <c r="CQ241" s="161"/>
      <c r="CR241" s="161"/>
      <c r="CS241" s="161"/>
      <c r="CT241" s="161"/>
      <c r="CU241" s="161"/>
      <c r="CV241" s="161"/>
      <c r="CW241" s="161"/>
      <c r="CX241" s="161"/>
      <c r="CY241" s="161"/>
      <c r="CZ241" s="161"/>
      <c r="DA241" s="161"/>
      <c r="DB241" s="161"/>
      <c r="DC241" s="161"/>
      <c r="DD241" s="161"/>
      <c r="DE241" s="161"/>
      <c r="DF241" s="161"/>
      <c r="DG241" s="161"/>
      <c r="DH241" s="161"/>
      <c r="DI241" s="161"/>
      <c r="DJ241" s="161"/>
      <c r="DK241" s="161"/>
      <c r="DL241" s="161"/>
      <c r="DM241" s="161"/>
      <c r="DN241" s="161"/>
      <c r="DO241" s="161"/>
      <c r="DP241" s="161"/>
      <c r="DQ241" s="161"/>
      <c r="DR241" s="161"/>
      <c r="DS241" s="161"/>
      <c r="DT241" s="161"/>
      <c r="DU241" s="161"/>
      <c r="DV241" s="161"/>
      <c r="DW241" s="161"/>
      <c r="DX241" s="161"/>
      <c r="DY241" s="161"/>
      <c r="DZ241" s="161"/>
      <c r="EA241" s="161"/>
      <c r="EB241" s="161"/>
      <c r="EC241" s="161"/>
      <c r="ED241" s="161"/>
      <c r="EE241" s="161"/>
      <c r="EF241" s="161"/>
      <c r="EG241" s="161"/>
      <c r="EH241" s="161"/>
      <c r="EI241" s="161"/>
      <c r="EJ241" s="161"/>
      <c r="EK241" s="161"/>
      <c r="EL241" s="161"/>
      <c r="EM241" s="161"/>
      <c r="EN241" s="161"/>
      <c r="EO241" s="161"/>
      <c r="EP241" s="161"/>
      <c r="EQ241" s="161"/>
      <c r="ER241" s="161"/>
      <c r="ES241" s="161"/>
      <c r="ET241" s="161"/>
      <c r="EU241" s="161"/>
      <c r="EV241" s="161"/>
      <c r="EW241" s="161"/>
      <c r="EX241" s="161"/>
      <c r="EY241" s="161"/>
      <c r="EZ241" s="161"/>
      <c r="FA241" s="161"/>
      <c r="FB241" s="161"/>
      <c r="FC241" s="161"/>
      <c r="FD241" s="161"/>
      <c r="FE241" s="161"/>
      <c r="FF241" s="161"/>
      <c r="FG241" s="161"/>
      <c r="FH241" s="161"/>
      <c r="FI241" s="161"/>
      <c r="FJ241" s="161"/>
      <c r="FK241" s="161"/>
      <c r="FL241" s="161"/>
      <c r="FM241" s="161"/>
      <c r="FN241" s="161"/>
      <c r="FO241" s="161"/>
      <c r="FP241" s="161"/>
      <c r="FQ241" s="161"/>
      <c r="FR241" s="161"/>
      <c r="FS241" s="161"/>
      <c r="FT241" s="161"/>
      <c r="FU241" s="161"/>
      <c r="FV241" s="161"/>
      <c r="FW241" s="161"/>
      <c r="FX241" s="161"/>
    </row>
    <row r="242" spans="1:180" s="152" customFormat="1" ht="30" customHeight="1" thickTop="1" thickBot="1" x14ac:dyDescent="0.3">
      <c r="A242" s="639" t="s">
        <v>0</v>
      </c>
      <c r="B242" s="639" t="s">
        <v>1</v>
      </c>
      <c r="C242" s="639" t="s">
        <v>2569</v>
      </c>
      <c r="D242" s="636" t="s">
        <v>1961</v>
      </c>
      <c r="E242" s="637"/>
      <c r="F242" s="637"/>
      <c r="G242" s="638"/>
      <c r="H242" s="636" t="s">
        <v>3</v>
      </c>
      <c r="I242" s="637"/>
      <c r="J242" s="636" t="s">
        <v>1962</v>
      </c>
      <c r="K242" s="637"/>
      <c r="L242" s="637"/>
      <c r="M242" s="638"/>
    </row>
    <row r="243" spans="1:180" s="152" customFormat="1" ht="34.5" customHeight="1" thickTop="1" thickBot="1" x14ac:dyDescent="0.3">
      <c r="A243" s="661"/>
      <c r="B243" s="661"/>
      <c r="C243" s="661"/>
      <c r="D243" s="406" t="s">
        <v>4</v>
      </c>
      <c r="E243" s="406" t="s">
        <v>5</v>
      </c>
      <c r="F243" s="406" t="s">
        <v>6</v>
      </c>
      <c r="G243" s="406" t="s">
        <v>7</v>
      </c>
      <c r="H243" s="406" t="s">
        <v>2</v>
      </c>
      <c r="I243" s="406" t="s">
        <v>3</v>
      </c>
      <c r="J243" s="406" t="s">
        <v>8</v>
      </c>
      <c r="K243" s="406" t="s">
        <v>9</v>
      </c>
      <c r="L243" s="406" t="s">
        <v>1963</v>
      </c>
      <c r="M243" s="406" t="s">
        <v>1964</v>
      </c>
    </row>
    <row r="244" spans="1:180" s="150" customFormat="1" ht="50.25" customHeight="1" thickTop="1" thickBot="1" x14ac:dyDescent="0.3">
      <c r="A244" s="307" t="s">
        <v>1315</v>
      </c>
      <c r="B244" s="625" t="s">
        <v>2545</v>
      </c>
      <c r="C244" s="413" t="s">
        <v>18</v>
      </c>
      <c r="D244" s="418">
        <v>2</v>
      </c>
      <c r="E244" s="418">
        <v>30</v>
      </c>
      <c r="F244" s="418">
        <v>3</v>
      </c>
      <c r="G244" s="418">
        <v>848</v>
      </c>
      <c r="H244" s="483">
        <v>319756870</v>
      </c>
      <c r="I244" s="483">
        <v>207832800</v>
      </c>
      <c r="J244" s="254" t="s">
        <v>1143</v>
      </c>
      <c r="K244" s="418" t="s">
        <v>20</v>
      </c>
      <c r="L244" s="417">
        <v>178</v>
      </c>
      <c r="M244" s="418">
        <v>116</v>
      </c>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c r="BI244" s="152"/>
      <c r="BJ244" s="152"/>
      <c r="BK244" s="152"/>
      <c r="BL244" s="152"/>
      <c r="BM244" s="152"/>
      <c r="BN244" s="152"/>
      <c r="BO244" s="152"/>
      <c r="BP244" s="152"/>
      <c r="BQ244" s="152"/>
      <c r="BR244" s="152"/>
      <c r="BS244" s="152"/>
      <c r="BT244" s="152"/>
      <c r="BU244" s="152"/>
      <c r="BV244" s="152"/>
      <c r="BW244" s="152"/>
      <c r="BX244" s="152"/>
      <c r="BY244" s="152"/>
      <c r="BZ244" s="152"/>
      <c r="CA244" s="152"/>
      <c r="CB244" s="152"/>
      <c r="CC244" s="152"/>
      <c r="CD244" s="152"/>
      <c r="CE244" s="152"/>
      <c r="CF244" s="152"/>
      <c r="CG244" s="152"/>
      <c r="CH244" s="152"/>
      <c r="CI244" s="152"/>
      <c r="CJ244" s="152"/>
      <c r="CK244" s="152"/>
      <c r="CL244" s="152"/>
      <c r="CM244" s="152"/>
      <c r="CN244" s="152"/>
      <c r="CO244" s="152"/>
      <c r="CP244" s="152"/>
      <c r="CQ244" s="152"/>
      <c r="CR244" s="152"/>
      <c r="CS244" s="152"/>
      <c r="CT244" s="152"/>
      <c r="CU244" s="152"/>
      <c r="CV244" s="152"/>
      <c r="CW244" s="152"/>
      <c r="CX244" s="152"/>
      <c r="CY244" s="152"/>
      <c r="CZ244" s="152"/>
      <c r="DA244" s="152"/>
      <c r="DB244" s="152"/>
      <c r="DC244" s="152"/>
      <c r="DD244" s="152"/>
      <c r="DE244" s="152"/>
      <c r="DF244" s="152"/>
      <c r="DG244" s="152"/>
      <c r="DH244" s="152"/>
      <c r="DI244" s="152"/>
      <c r="DJ244" s="152"/>
      <c r="DK244" s="152"/>
      <c r="DL244" s="152"/>
      <c r="DM244" s="152"/>
      <c r="DN244" s="152"/>
      <c r="DO244" s="152"/>
      <c r="DP244" s="152"/>
      <c r="DQ244" s="152"/>
      <c r="DR244" s="152"/>
      <c r="DS244" s="152"/>
      <c r="DT244" s="152"/>
      <c r="DU244" s="152"/>
      <c r="DV244" s="152"/>
      <c r="DW244" s="152"/>
      <c r="DX244" s="152"/>
      <c r="DY244" s="152"/>
      <c r="DZ244" s="152"/>
      <c r="EA244" s="152"/>
      <c r="EB244" s="152"/>
      <c r="EC244" s="152"/>
      <c r="ED244" s="152"/>
      <c r="EE244" s="152"/>
      <c r="EF244" s="152"/>
      <c r="EG244" s="152"/>
      <c r="EH244" s="152"/>
      <c r="EI244" s="152"/>
      <c r="EJ244" s="152"/>
      <c r="EK244" s="152"/>
      <c r="EL244" s="152"/>
      <c r="EM244" s="152"/>
      <c r="EN244" s="152"/>
      <c r="EO244" s="152"/>
      <c r="EP244" s="152"/>
      <c r="EQ244" s="152"/>
      <c r="ER244" s="152"/>
      <c r="ES244" s="152"/>
      <c r="ET244" s="152"/>
      <c r="EU244" s="152"/>
      <c r="EV244" s="152"/>
      <c r="EW244" s="152"/>
      <c r="EX244" s="152"/>
      <c r="EY244" s="152"/>
      <c r="EZ244" s="152"/>
      <c r="FA244" s="152"/>
      <c r="FB244" s="152"/>
      <c r="FC244" s="152"/>
      <c r="FD244" s="152"/>
      <c r="FE244" s="152"/>
      <c r="FF244" s="152"/>
      <c r="FG244" s="152"/>
      <c r="FH244" s="152"/>
      <c r="FI244" s="152"/>
      <c r="FJ244" s="152"/>
      <c r="FK244" s="152"/>
      <c r="FL244" s="152"/>
      <c r="FM244" s="152"/>
      <c r="FN244" s="152"/>
      <c r="FO244" s="152"/>
      <c r="FP244" s="152"/>
      <c r="FQ244" s="152"/>
      <c r="FR244" s="152"/>
      <c r="FS244" s="152"/>
      <c r="FT244" s="152"/>
      <c r="FU244" s="152"/>
      <c r="FV244" s="152"/>
      <c r="FW244" s="152"/>
      <c r="FX244" s="152"/>
    </row>
    <row r="245" spans="1:180" s="150" customFormat="1" ht="40.5" customHeight="1" thickTop="1" thickBot="1" x14ac:dyDescent="0.3">
      <c r="A245" s="307" t="s">
        <v>1315</v>
      </c>
      <c r="B245" s="625" t="s">
        <v>2545</v>
      </c>
      <c r="C245" s="654" t="s">
        <v>179</v>
      </c>
      <c r="D245" s="418">
        <v>2</v>
      </c>
      <c r="E245" s="418">
        <v>30</v>
      </c>
      <c r="F245" s="418">
        <v>3</v>
      </c>
      <c r="G245" s="418">
        <v>520</v>
      </c>
      <c r="H245" s="483">
        <v>0</v>
      </c>
      <c r="I245" s="483">
        <v>0</v>
      </c>
      <c r="J245" s="254" t="s">
        <v>1144</v>
      </c>
      <c r="K245" s="418" t="s">
        <v>55</v>
      </c>
      <c r="L245" s="418">
        <v>3</v>
      </c>
      <c r="M245" s="418">
        <v>0</v>
      </c>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c r="BI245" s="152"/>
      <c r="BJ245" s="152"/>
      <c r="BK245" s="152"/>
      <c r="BL245" s="152"/>
      <c r="BM245" s="152"/>
      <c r="BN245" s="152"/>
      <c r="BO245" s="152"/>
      <c r="BP245" s="152"/>
      <c r="BQ245" s="152"/>
      <c r="BR245" s="152"/>
      <c r="BS245" s="152"/>
      <c r="BT245" s="152"/>
      <c r="BU245" s="152"/>
      <c r="BV245" s="152"/>
      <c r="BW245" s="152"/>
      <c r="BX245" s="152"/>
      <c r="BY245" s="152"/>
      <c r="BZ245" s="152"/>
      <c r="CA245" s="152"/>
      <c r="CB245" s="152"/>
      <c r="CC245" s="152"/>
      <c r="CD245" s="152"/>
      <c r="CE245" s="152"/>
      <c r="CF245" s="152"/>
      <c r="CG245" s="152"/>
      <c r="CH245" s="152"/>
      <c r="CI245" s="152"/>
      <c r="CJ245" s="152"/>
      <c r="CK245" s="152"/>
      <c r="CL245" s="152"/>
      <c r="CM245" s="152"/>
      <c r="CN245" s="152"/>
      <c r="CO245" s="152"/>
      <c r="CP245" s="152"/>
      <c r="CQ245" s="152"/>
      <c r="CR245" s="152"/>
      <c r="CS245" s="152"/>
      <c r="CT245" s="152"/>
      <c r="CU245" s="152"/>
      <c r="CV245" s="152"/>
      <c r="CW245" s="152"/>
      <c r="CX245" s="152"/>
      <c r="CY245" s="152"/>
      <c r="CZ245" s="152"/>
      <c r="DA245" s="152"/>
      <c r="DB245" s="152"/>
      <c r="DC245" s="152"/>
      <c r="DD245" s="152"/>
      <c r="DE245" s="152"/>
      <c r="DF245" s="152"/>
      <c r="DG245" s="152"/>
      <c r="DH245" s="152"/>
      <c r="DI245" s="152"/>
      <c r="DJ245" s="152"/>
      <c r="DK245" s="152"/>
      <c r="DL245" s="152"/>
      <c r="DM245" s="152"/>
      <c r="DN245" s="152"/>
      <c r="DO245" s="152"/>
      <c r="DP245" s="152"/>
      <c r="DQ245" s="152"/>
      <c r="DR245" s="152"/>
      <c r="DS245" s="152"/>
      <c r="DT245" s="152"/>
      <c r="DU245" s="152"/>
      <c r="DV245" s="152"/>
      <c r="DW245" s="152"/>
      <c r="DX245" s="152"/>
      <c r="DY245" s="152"/>
      <c r="DZ245" s="152"/>
      <c r="EA245" s="152"/>
      <c r="EB245" s="152"/>
      <c r="EC245" s="152"/>
      <c r="ED245" s="152"/>
      <c r="EE245" s="152"/>
      <c r="EF245" s="152"/>
      <c r="EG245" s="152"/>
      <c r="EH245" s="152"/>
      <c r="EI245" s="152"/>
      <c r="EJ245" s="152"/>
      <c r="EK245" s="152"/>
      <c r="EL245" s="152"/>
      <c r="EM245" s="152"/>
      <c r="EN245" s="152"/>
      <c r="EO245" s="152"/>
      <c r="EP245" s="152"/>
      <c r="EQ245" s="152"/>
      <c r="ER245" s="152"/>
      <c r="ES245" s="152"/>
      <c r="ET245" s="152"/>
      <c r="EU245" s="152"/>
      <c r="EV245" s="152"/>
      <c r="EW245" s="152"/>
      <c r="EX245" s="152"/>
      <c r="EY245" s="152"/>
      <c r="EZ245" s="152"/>
      <c r="FA245" s="152"/>
      <c r="FB245" s="152"/>
      <c r="FC245" s="152"/>
      <c r="FD245" s="152"/>
      <c r="FE245" s="152"/>
      <c r="FF245" s="152"/>
      <c r="FG245" s="152"/>
      <c r="FH245" s="152"/>
      <c r="FI245" s="152"/>
      <c r="FJ245" s="152"/>
      <c r="FK245" s="152"/>
      <c r="FL245" s="152"/>
      <c r="FM245" s="152"/>
      <c r="FN245" s="152"/>
      <c r="FO245" s="152"/>
      <c r="FP245" s="152"/>
      <c r="FQ245" s="152"/>
      <c r="FR245" s="152"/>
      <c r="FS245" s="152"/>
      <c r="FT245" s="152"/>
      <c r="FU245" s="152"/>
      <c r="FV245" s="152"/>
      <c r="FW245" s="152"/>
      <c r="FX245" s="152"/>
    </row>
    <row r="246" spans="1:180" s="150" customFormat="1" ht="40.5" customHeight="1" thickTop="1" thickBot="1" x14ac:dyDescent="0.3">
      <c r="A246" s="307" t="s">
        <v>1315</v>
      </c>
      <c r="B246" s="625" t="s">
        <v>2545</v>
      </c>
      <c r="C246" s="654"/>
      <c r="D246" s="418">
        <v>2</v>
      </c>
      <c r="E246" s="418">
        <v>30</v>
      </c>
      <c r="F246" s="418">
        <v>3</v>
      </c>
      <c r="G246" s="418">
        <v>520</v>
      </c>
      <c r="H246" s="483">
        <v>30752880</v>
      </c>
      <c r="I246" s="483">
        <v>30752880</v>
      </c>
      <c r="J246" s="416" t="s">
        <v>1145</v>
      </c>
      <c r="K246" s="418" t="s">
        <v>1146</v>
      </c>
      <c r="L246" s="418">
        <v>1</v>
      </c>
      <c r="M246" s="418">
        <v>1</v>
      </c>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c r="BI246" s="152"/>
      <c r="BJ246" s="152"/>
      <c r="BK246" s="152"/>
      <c r="BL246" s="152"/>
      <c r="BM246" s="152"/>
      <c r="BN246" s="152"/>
      <c r="BO246" s="152"/>
      <c r="BP246" s="152"/>
      <c r="BQ246" s="152"/>
      <c r="BR246" s="152"/>
      <c r="BS246" s="152"/>
      <c r="BT246" s="152"/>
      <c r="BU246" s="152"/>
      <c r="BV246" s="152"/>
      <c r="BW246" s="152"/>
      <c r="BX246" s="152"/>
      <c r="BY246" s="152"/>
      <c r="BZ246" s="152"/>
      <c r="CA246" s="152"/>
      <c r="CB246" s="152"/>
      <c r="CC246" s="152"/>
      <c r="CD246" s="152"/>
      <c r="CE246" s="152"/>
      <c r="CF246" s="152"/>
      <c r="CG246" s="152"/>
      <c r="CH246" s="152"/>
      <c r="CI246" s="152"/>
      <c r="CJ246" s="152"/>
      <c r="CK246" s="152"/>
      <c r="CL246" s="152"/>
      <c r="CM246" s="152"/>
      <c r="CN246" s="152"/>
      <c r="CO246" s="152"/>
      <c r="CP246" s="152"/>
      <c r="CQ246" s="152"/>
      <c r="CR246" s="152"/>
      <c r="CS246" s="152"/>
      <c r="CT246" s="152"/>
      <c r="CU246" s="152"/>
      <c r="CV246" s="152"/>
      <c r="CW246" s="152"/>
      <c r="CX246" s="152"/>
      <c r="CY246" s="152"/>
      <c r="CZ246" s="152"/>
      <c r="DA246" s="152"/>
      <c r="DB246" s="152"/>
      <c r="DC246" s="152"/>
      <c r="DD246" s="152"/>
      <c r="DE246" s="152"/>
      <c r="DF246" s="152"/>
      <c r="DG246" s="152"/>
      <c r="DH246" s="152"/>
      <c r="DI246" s="152"/>
      <c r="DJ246" s="152"/>
      <c r="DK246" s="152"/>
      <c r="DL246" s="152"/>
      <c r="DM246" s="152"/>
      <c r="DN246" s="152"/>
      <c r="DO246" s="152"/>
      <c r="DP246" s="152"/>
      <c r="DQ246" s="152"/>
      <c r="DR246" s="152"/>
      <c r="DS246" s="152"/>
      <c r="DT246" s="152"/>
      <c r="DU246" s="152"/>
      <c r="DV246" s="152"/>
      <c r="DW246" s="152"/>
      <c r="DX246" s="152"/>
      <c r="DY246" s="152"/>
      <c r="DZ246" s="152"/>
      <c r="EA246" s="152"/>
      <c r="EB246" s="152"/>
      <c r="EC246" s="152"/>
      <c r="ED246" s="152"/>
      <c r="EE246" s="152"/>
      <c r="EF246" s="152"/>
      <c r="EG246" s="152"/>
      <c r="EH246" s="152"/>
      <c r="EI246" s="152"/>
      <c r="EJ246" s="152"/>
      <c r="EK246" s="152"/>
      <c r="EL246" s="152"/>
      <c r="EM246" s="152"/>
      <c r="EN246" s="152"/>
      <c r="EO246" s="152"/>
      <c r="EP246" s="152"/>
      <c r="EQ246" s="152"/>
      <c r="ER246" s="152"/>
      <c r="ES246" s="152"/>
      <c r="ET246" s="152"/>
      <c r="EU246" s="152"/>
      <c r="EV246" s="152"/>
      <c r="EW246" s="152"/>
      <c r="EX246" s="152"/>
      <c r="EY246" s="152"/>
      <c r="EZ246" s="152"/>
      <c r="FA246" s="152"/>
      <c r="FB246" s="152"/>
      <c r="FC246" s="152"/>
      <c r="FD246" s="152"/>
      <c r="FE246" s="152"/>
      <c r="FF246" s="152"/>
      <c r="FG246" s="152"/>
      <c r="FH246" s="152"/>
      <c r="FI246" s="152"/>
      <c r="FJ246" s="152"/>
      <c r="FK246" s="152"/>
      <c r="FL246" s="152"/>
      <c r="FM246" s="152"/>
      <c r="FN246" s="152"/>
      <c r="FO246" s="152"/>
      <c r="FP246" s="152"/>
      <c r="FQ246" s="152"/>
      <c r="FR246" s="152"/>
      <c r="FS246" s="152"/>
      <c r="FT246" s="152"/>
      <c r="FU246" s="152"/>
      <c r="FV246" s="152"/>
      <c r="FW246" s="152"/>
      <c r="FX246" s="152"/>
    </row>
    <row r="247" spans="1:180" s="150" customFormat="1" ht="40.5" customHeight="1" thickTop="1" thickBot="1" x14ac:dyDescent="0.3">
      <c r="A247" s="307" t="s">
        <v>1315</v>
      </c>
      <c r="B247" s="625" t="s">
        <v>2545</v>
      </c>
      <c r="C247" s="654"/>
      <c r="D247" s="418">
        <v>2</v>
      </c>
      <c r="E247" s="418">
        <v>30</v>
      </c>
      <c r="F247" s="418">
        <v>3</v>
      </c>
      <c r="G247" s="418">
        <v>520</v>
      </c>
      <c r="H247" s="483">
        <v>93753976</v>
      </c>
      <c r="I247" s="483">
        <v>0</v>
      </c>
      <c r="J247" s="416" t="s">
        <v>1147</v>
      </c>
      <c r="K247" s="418" t="s">
        <v>25</v>
      </c>
      <c r="L247" s="418">
        <v>1</v>
      </c>
      <c r="M247" s="418">
        <v>0</v>
      </c>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c r="BI247" s="152"/>
      <c r="BJ247" s="152"/>
      <c r="BK247" s="152"/>
      <c r="BL247" s="152"/>
      <c r="BM247" s="152"/>
      <c r="BN247" s="152"/>
      <c r="BO247" s="152"/>
      <c r="BP247" s="152"/>
      <c r="BQ247" s="152"/>
      <c r="BR247" s="152"/>
      <c r="BS247" s="152"/>
      <c r="BT247" s="152"/>
      <c r="BU247" s="152"/>
      <c r="BV247" s="152"/>
      <c r="BW247" s="152"/>
      <c r="BX247" s="152"/>
      <c r="BY247" s="152"/>
      <c r="BZ247" s="152"/>
      <c r="CA247" s="152"/>
      <c r="CB247" s="152"/>
      <c r="CC247" s="152"/>
      <c r="CD247" s="152"/>
      <c r="CE247" s="152"/>
      <c r="CF247" s="152"/>
      <c r="CG247" s="152"/>
      <c r="CH247" s="152"/>
      <c r="CI247" s="152"/>
      <c r="CJ247" s="152"/>
      <c r="CK247" s="152"/>
      <c r="CL247" s="152"/>
      <c r="CM247" s="152"/>
      <c r="CN247" s="152"/>
      <c r="CO247" s="152"/>
      <c r="CP247" s="152"/>
      <c r="CQ247" s="152"/>
      <c r="CR247" s="152"/>
      <c r="CS247" s="152"/>
      <c r="CT247" s="152"/>
      <c r="CU247" s="152"/>
      <c r="CV247" s="152"/>
      <c r="CW247" s="152"/>
      <c r="CX247" s="152"/>
      <c r="CY247" s="152"/>
      <c r="CZ247" s="152"/>
      <c r="DA247" s="152"/>
      <c r="DB247" s="152"/>
      <c r="DC247" s="152"/>
      <c r="DD247" s="152"/>
      <c r="DE247" s="152"/>
      <c r="DF247" s="152"/>
      <c r="DG247" s="152"/>
      <c r="DH247" s="152"/>
      <c r="DI247" s="152"/>
      <c r="DJ247" s="152"/>
      <c r="DK247" s="152"/>
      <c r="DL247" s="152"/>
      <c r="DM247" s="152"/>
      <c r="DN247" s="152"/>
      <c r="DO247" s="152"/>
      <c r="DP247" s="152"/>
      <c r="DQ247" s="152"/>
      <c r="DR247" s="152"/>
      <c r="DS247" s="152"/>
      <c r="DT247" s="152"/>
      <c r="DU247" s="152"/>
      <c r="DV247" s="152"/>
      <c r="DW247" s="152"/>
      <c r="DX247" s="152"/>
      <c r="DY247" s="152"/>
      <c r="DZ247" s="152"/>
      <c r="EA247" s="152"/>
      <c r="EB247" s="152"/>
      <c r="EC247" s="152"/>
      <c r="ED247" s="152"/>
      <c r="EE247" s="152"/>
      <c r="EF247" s="152"/>
      <c r="EG247" s="152"/>
      <c r="EH247" s="152"/>
      <c r="EI247" s="152"/>
      <c r="EJ247" s="152"/>
      <c r="EK247" s="152"/>
      <c r="EL247" s="152"/>
      <c r="EM247" s="152"/>
      <c r="EN247" s="152"/>
      <c r="EO247" s="152"/>
      <c r="EP247" s="152"/>
      <c r="EQ247" s="152"/>
      <c r="ER247" s="152"/>
      <c r="ES247" s="152"/>
      <c r="ET247" s="152"/>
      <c r="EU247" s="152"/>
      <c r="EV247" s="152"/>
      <c r="EW247" s="152"/>
      <c r="EX247" s="152"/>
      <c r="EY247" s="152"/>
      <c r="EZ247" s="152"/>
      <c r="FA247" s="152"/>
      <c r="FB247" s="152"/>
      <c r="FC247" s="152"/>
      <c r="FD247" s="152"/>
      <c r="FE247" s="152"/>
      <c r="FF247" s="152"/>
      <c r="FG247" s="152"/>
      <c r="FH247" s="152"/>
      <c r="FI247" s="152"/>
      <c r="FJ247" s="152"/>
      <c r="FK247" s="152"/>
      <c r="FL247" s="152"/>
      <c r="FM247" s="152"/>
      <c r="FN247" s="152"/>
      <c r="FO247" s="152"/>
      <c r="FP247" s="152"/>
      <c r="FQ247" s="152"/>
      <c r="FR247" s="152"/>
      <c r="FS247" s="152"/>
      <c r="FT247" s="152"/>
      <c r="FU247" s="152"/>
      <c r="FV247" s="152"/>
      <c r="FW247" s="152"/>
      <c r="FX247" s="152"/>
    </row>
    <row r="248" spans="1:180" s="150" customFormat="1" ht="40.5" customHeight="1" thickTop="1" thickBot="1" x14ac:dyDescent="0.3">
      <c r="A248" s="307" t="s">
        <v>1315</v>
      </c>
      <c r="B248" s="625" t="s">
        <v>2545</v>
      </c>
      <c r="C248" s="654"/>
      <c r="D248" s="418">
        <v>2</v>
      </c>
      <c r="E248" s="418">
        <v>30</v>
      </c>
      <c r="F248" s="418">
        <v>3</v>
      </c>
      <c r="G248" s="418">
        <v>520</v>
      </c>
      <c r="H248" s="483">
        <v>300000000</v>
      </c>
      <c r="I248" s="483">
        <v>172897625</v>
      </c>
      <c r="J248" s="416" t="s">
        <v>1148</v>
      </c>
      <c r="K248" s="418" t="s">
        <v>55</v>
      </c>
      <c r="L248" s="418">
        <v>3</v>
      </c>
      <c r="M248" s="418">
        <v>2</v>
      </c>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c r="BI248" s="152"/>
      <c r="BJ248" s="152"/>
      <c r="BK248" s="152"/>
      <c r="BL248" s="152"/>
      <c r="BM248" s="152"/>
      <c r="BN248" s="152"/>
      <c r="BO248" s="152"/>
      <c r="BP248" s="152"/>
      <c r="BQ248" s="152"/>
      <c r="BR248" s="152"/>
      <c r="BS248" s="152"/>
      <c r="BT248" s="152"/>
      <c r="BU248" s="152"/>
      <c r="BV248" s="152"/>
      <c r="BW248" s="152"/>
      <c r="BX248" s="152"/>
      <c r="BY248" s="152"/>
      <c r="BZ248" s="152"/>
      <c r="CA248" s="152"/>
      <c r="CB248" s="152"/>
      <c r="CC248" s="152"/>
      <c r="CD248" s="152"/>
      <c r="CE248" s="152"/>
      <c r="CF248" s="152"/>
      <c r="CG248" s="152"/>
      <c r="CH248" s="152"/>
      <c r="CI248" s="152"/>
      <c r="CJ248" s="152"/>
      <c r="CK248" s="152"/>
      <c r="CL248" s="152"/>
      <c r="CM248" s="152"/>
      <c r="CN248" s="152"/>
      <c r="CO248" s="152"/>
      <c r="CP248" s="152"/>
      <c r="CQ248" s="152"/>
      <c r="CR248" s="152"/>
      <c r="CS248" s="152"/>
      <c r="CT248" s="152"/>
      <c r="CU248" s="152"/>
      <c r="CV248" s="152"/>
      <c r="CW248" s="152"/>
      <c r="CX248" s="152"/>
      <c r="CY248" s="152"/>
      <c r="CZ248" s="152"/>
      <c r="DA248" s="152"/>
      <c r="DB248" s="152"/>
      <c r="DC248" s="152"/>
      <c r="DD248" s="152"/>
      <c r="DE248" s="152"/>
      <c r="DF248" s="152"/>
      <c r="DG248" s="152"/>
      <c r="DH248" s="152"/>
      <c r="DI248" s="152"/>
      <c r="DJ248" s="152"/>
      <c r="DK248" s="152"/>
      <c r="DL248" s="152"/>
      <c r="DM248" s="152"/>
      <c r="DN248" s="152"/>
      <c r="DO248" s="152"/>
      <c r="DP248" s="152"/>
      <c r="DQ248" s="152"/>
      <c r="DR248" s="152"/>
      <c r="DS248" s="152"/>
      <c r="DT248" s="152"/>
      <c r="DU248" s="152"/>
      <c r="DV248" s="152"/>
      <c r="DW248" s="152"/>
      <c r="DX248" s="152"/>
      <c r="DY248" s="152"/>
      <c r="DZ248" s="152"/>
      <c r="EA248" s="152"/>
      <c r="EB248" s="152"/>
      <c r="EC248" s="152"/>
      <c r="ED248" s="152"/>
      <c r="EE248" s="152"/>
      <c r="EF248" s="152"/>
      <c r="EG248" s="152"/>
      <c r="EH248" s="152"/>
      <c r="EI248" s="152"/>
      <c r="EJ248" s="152"/>
      <c r="EK248" s="152"/>
      <c r="EL248" s="152"/>
      <c r="EM248" s="152"/>
      <c r="EN248" s="152"/>
      <c r="EO248" s="152"/>
      <c r="EP248" s="152"/>
      <c r="EQ248" s="152"/>
      <c r="ER248" s="152"/>
      <c r="ES248" s="152"/>
      <c r="ET248" s="152"/>
      <c r="EU248" s="152"/>
      <c r="EV248" s="152"/>
      <c r="EW248" s="152"/>
      <c r="EX248" s="152"/>
      <c r="EY248" s="152"/>
      <c r="EZ248" s="152"/>
      <c r="FA248" s="152"/>
      <c r="FB248" s="152"/>
      <c r="FC248" s="152"/>
      <c r="FD248" s="152"/>
      <c r="FE248" s="152"/>
      <c r="FF248" s="152"/>
      <c r="FG248" s="152"/>
      <c r="FH248" s="152"/>
      <c r="FI248" s="152"/>
      <c r="FJ248" s="152"/>
      <c r="FK248" s="152"/>
      <c r="FL248" s="152"/>
      <c r="FM248" s="152"/>
      <c r="FN248" s="152"/>
      <c r="FO248" s="152"/>
      <c r="FP248" s="152"/>
      <c r="FQ248" s="152"/>
      <c r="FR248" s="152"/>
      <c r="FS248" s="152"/>
      <c r="FT248" s="152"/>
      <c r="FU248" s="152"/>
      <c r="FV248" s="152"/>
      <c r="FW248" s="152"/>
      <c r="FX248" s="152"/>
    </row>
    <row r="249" spans="1:180" s="150" customFormat="1" ht="40.5" customHeight="1" thickTop="1" thickBot="1" x14ac:dyDescent="0.3">
      <c r="A249" s="307" t="s">
        <v>1315</v>
      </c>
      <c r="B249" s="625" t="s">
        <v>2545</v>
      </c>
      <c r="C249" s="654"/>
      <c r="D249" s="418">
        <v>2</v>
      </c>
      <c r="E249" s="418">
        <v>30</v>
      </c>
      <c r="F249" s="418">
        <v>3</v>
      </c>
      <c r="G249" s="418">
        <v>520</v>
      </c>
      <c r="H249" s="483">
        <v>182131626</v>
      </c>
      <c r="I249" s="483">
        <v>70495846</v>
      </c>
      <c r="J249" s="416" t="s">
        <v>1149</v>
      </c>
      <c r="K249" s="418" t="s">
        <v>1146</v>
      </c>
      <c r="L249" s="418">
        <v>1</v>
      </c>
      <c r="M249" s="418">
        <v>1</v>
      </c>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c r="BI249" s="152"/>
      <c r="BJ249" s="152"/>
      <c r="BK249" s="152"/>
      <c r="BL249" s="152"/>
      <c r="BM249" s="152"/>
      <c r="BN249" s="152"/>
      <c r="BO249" s="152"/>
      <c r="BP249" s="152"/>
      <c r="BQ249" s="152"/>
      <c r="BR249" s="152"/>
      <c r="BS249" s="152"/>
      <c r="BT249" s="152"/>
      <c r="BU249" s="152"/>
      <c r="BV249" s="152"/>
      <c r="BW249" s="152"/>
      <c r="BX249" s="152"/>
      <c r="BY249" s="152"/>
      <c r="BZ249" s="152"/>
      <c r="CA249" s="152"/>
      <c r="CB249" s="152"/>
      <c r="CC249" s="152"/>
      <c r="CD249" s="152"/>
      <c r="CE249" s="152"/>
      <c r="CF249" s="152"/>
      <c r="CG249" s="152"/>
      <c r="CH249" s="152"/>
      <c r="CI249" s="152"/>
      <c r="CJ249" s="152"/>
      <c r="CK249" s="152"/>
      <c r="CL249" s="152"/>
      <c r="CM249" s="152"/>
      <c r="CN249" s="152"/>
      <c r="CO249" s="152"/>
      <c r="CP249" s="152"/>
      <c r="CQ249" s="152"/>
      <c r="CR249" s="152"/>
      <c r="CS249" s="152"/>
      <c r="CT249" s="152"/>
      <c r="CU249" s="152"/>
      <c r="CV249" s="152"/>
      <c r="CW249" s="152"/>
      <c r="CX249" s="152"/>
      <c r="CY249" s="152"/>
      <c r="CZ249" s="152"/>
      <c r="DA249" s="152"/>
      <c r="DB249" s="152"/>
      <c r="DC249" s="152"/>
      <c r="DD249" s="152"/>
      <c r="DE249" s="152"/>
      <c r="DF249" s="152"/>
      <c r="DG249" s="152"/>
      <c r="DH249" s="152"/>
      <c r="DI249" s="152"/>
      <c r="DJ249" s="152"/>
      <c r="DK249" s="152"/>
      <c r="DL249" s="152"/>
      <c r="DM249" s="152"/>
      <c r="DN249" s="152"/>
      <c r="DO249" s="152"/>
      <c r="DP249" s="152"/>
      <c r="DQ249" s="152"/>
      <c r="DR249" s="152"/>
      <c r="DS249" s="152"/>
      <c r="DT249" s="152"/>
      <c r="DU249" s="152"/>
      <c r="DV249" s="152"/>
      <c r="DW249" s="152"/>
      <c r="DX249" s="152"/>
      <c r="DY249" s="152"/>
      <c r="DZ249" s="152"/>
      <c r="EA249" s="152"/>
      <c r="EB249" s="152"/>
      <c r="EC249" s="152"/>
      <c r="ED249" s="152"/>
      <c r="EE249" s="152"/>
      <c r="EF249" s="152"/>
      <c r="EG249" s="152"/>
      <c r="EH249" s="152"/>
      <c r="EI249" s="152"/>
      <c r="EJ249" s="152"/>
      <c r="EK249" s="152"/>
      <c r="EL249" s="152"/>
      <c r="EM249" s="152"/>
      <c r="EN249" s="152"/>
      <c r="EO249" s="152"/>
      <c r="EP249" s="152"/>
      <c r="EQ249" s="152"/>
      <c r="ER249" s="152"/>
      <c r="ES249" s="152"/>
      <c r="ET249" s="152"/>
      <c r="EU249" s="152"/>
      <c r="EV249" s="152"/>
      <c r="EW249" s="152"/>
      <c r="EX249" s="152"/>
      <c r="EY249" s="152"/>
      <c r="EZ249" s="152"/>
      <c r="FA249" s="152"/>
      <c r="FB249" s="152"/>
      <c r="FC249" s="152"/>
      <c r="FD249" s="152"/>
      <c r="FE249" s="152"/>
      <c r="FF249" s="152"/>
      <c r="FG249" s="152"/>
      <c r="FH249" s="152"/>
      <c r="FI249" s="152"/>
      <c r="FJ249" s="152"/>
      <c r="FK249" s="152"/>
      <c r="FL249" s="152"/>
      <c r="FM249" s="152"/>
      <c r="FN249" s="152"/>
      <c r="FO249" s="152"/>
      <c r="FP249" s="152"/>
      <c r="FQ249" s="152"/>
      <c r="FR249" s="152"/>
      <c r="FS249" s="152"/>
      <c r="FT249" s="152"/>
      <c r="FU249" s="152"/>
      <c r="FV249" s="152"/>
      <c r="FW249" s="152"/>
      <c r="FX249" s="152"/>
    </row>
    <row r="250" spans="1:180" s="150" customFormat="1" ht="40.5" customHeight="1" thickTop="1" thickBot="1" x14ac:dyDescent="0.3">
      <c r="A250" s="307" t="s">
        <v>1315</v>
      </c>
      <c r="B250" s="625" t="s">
        <v>2545</v>
      </c>
      <c r="C250" s="654"/>
      <c r="D250" s="418">
        <v>2</v>
      </c>
      <c r="E250" s="418">
        <v>30</v>
      </c>
      <c r="F250" s="418">
        <v>3</v>
      </c>
      <c r="G250" s="418">
        <v>520</v>
      </c>
      <c r="H250" s="483">
        <v>179766842</v>
      </c>
      <c r="I250" s="483">
        <v>86061782</v>
      </c>
      <c r="J250" s="416" t="s">
        <v>1150</v>
      </c>
      <c r="K250" s="418" t="s">
        <v>1146</v>
      </c>
      <c r="L250" s="418">
        <v>1</v>
      </c>
      <c r="M250" s="418">
        <v>1</v>
      </c>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c r="BI250" s="152"/>
      <c r="BJ250" s="152"/>
      <c r="BK250" s="152"/>
      <c r="BL250" s="152"/>
      <c r="BM250" s="152"/>
      <c r="BN250" s="152"/>
      <c r="BO250" s="152"/>
      <c r="BP250" s="152"/>
      <c r="BQ250" s="152"/>
      <c r="BR250" s="152"/>
      <c r="BS250" s="152"/>
      <c r="BT250" s="152"/>
      <c r="BU250" s="152"/>
      <c r="BV250" s="152"/>
      <c r="BW250" s="152"/>
      <c r="BX250" s="152"/>
      <c r="BY250" s="152"/>
      <c r="BZ250" s="152"/>
      <c r="CA250" s="152"/>
      <c r="CB250" s="152"/>
      <c r="CC250" s="152"/>
      <c r="CD250" s="152"/>
      <c r="CE250" s="152"/>
      <c r="CF250" s="152"/>
      <c r="CG250" s="152"/>
      <c r="CH250" s="152"/>
      <c r="CI250" s="152"/>
      <c r="CJ250" s="152"/>
      <c r="CK250" s="152"/>
      <c r="CL250" s="152"/>
      <c r="CM250" s="152"/>
      <c r="CN250" s="152"/>
      <c r="CO250" s="152"/>
      <c r="CP250" s="152"/>
      <c r="CQ250" s="152"/>
      <c r="CR250" s="152"/>
      <c r="CS250" s="152"/>
      <c r="CT250" s="152"/>
      <c r="CU250" s="152"/>
      <c r="CV250" s="152"/>
      <c r="CW250" s="152"/>
      <c r="CX250" s="152"/>
      <c r="CY250" s="152"/>
      <c r="CZ250" s="152"/>
      <c r="DA250" s="152"/>
      <c r="DB250" s="152"/>
      <c r="DC250" s="152"/>
      <c r="DD250" s="152"/>
      <c r="DE250" s="152"/>
      <c r="DF250" s="152"/>
      <c r="DG250" s="152"/>
      <c r="DH250" s="152"/>
      <c r="DI250" s="152"/>
      <c r="DJ250" s="152"/>
      <c r="DK250" s="152"/>
      <c r="DL250" s="152"/>
      <c r="DM250" s="152"/>
      <c r="DN250" s="152"/>
      <c r="DO250" s="152"/>
      <c r="DP250" s="152"/>
      <c r="DQ250" s="152"/>
      <c r="DR250" s="152"/>
      <c r="DS250" s="152"/>
      <c r="DT250" s="152"/>
      <c r="DU250" s="152"/>
      <c r="DV250" s="152"/>
      <c r="DW250" s="152"/>
      <c r="DX250" s="152"/>
      <c r="DY250" s="152"/>
      <c r="DZ250" s="152"/>
      <c r="EA250" s="152"/>
      <c r="EB250" s="152"/>
      <c r="EC250" s="152"/>
      <c r="ED250" s="152"/>
      <c r="EE250" s="152"/>
      <c r="EF250" s="152"/>
      <c r="EG250" s="152"/>
      <c r="EH250" s="152"/>
      <c r="EI250" s="152"/>
      <c r="EJ250" s="152"/>
      <c r="EK250" s="152"/>
      <c r="EL250" s="152"/>
      <c r="EM250" s="152"/>
      <c r="EN250" s="152"/>
      <c r="EO250" s="152"/>
      <c r="EP250" s="152"/>
      <c r="EQ250" s="152"/>
      <c r="ER250" s="152"/>
      <c r="ES250" s="152"/>
      <c r="ET250" s="152"/>
      <c r="EU250" s="152"/>
      <c r="EV250" s="152"/>
      <c r="EW250" s="152"/>
      <c r="EX250" s="152"/>
      <c r="EY250" s="152"/>
      <c r="EZ250" s="152"/>
      <c r="FA250" s="152"/>
      <c r="FB250" s="152"/>
      <c r="FC250" s="152"/>
      <c r="FD250" s="152"/>
      <c r="FE250" s="152"/>
      <c r="FF250" s="152"/>
      <c r="FG250" s="152"/>
      <c r="FH250" s="152"/>
      <c r="FI250" s="152"/>
      <c r="FJ250" s="152"/>
      <c r="FK250" s="152"/>
      <c r="FL250" s="152"/>
      <c r="FM250" s="152"/>
      <c r="FN250" s="152"/>
      <c r="FO250" s="152"/>
      <c r="FP250" s="152"/>
      <c r="FQ250" s="152"/>
      <c r="FR250" s="152"/>
      <c r="FS250" s="152"/>
      <c r="FT250" s="152"/>
      <c r="FU250" s="152"/>
      <c r="FV250" s="152"/>
      <c r="FW250" s="152"/>
      <c r="FX250" s="152"/>
    </row>
    <row r="251" spans="1:180" s="153" customFormat="1" ht="15" customHeight="1" thickTop="1" thickBot="1" x14ac:dyDescent="0.3">
      <c r="A251" s="439"/>
      <c r="B251" s="475"/>
      <c r="C251" s="158"/>
      <c r="D251" s="165"/>
      <c r="E251" s="165"/>
      <c r="F251" s="165"/>
      <c r="G251" s="165"/>
      <c r="H251" s="165"/>
      <c r="I251" s="165"/>
      <c r="J251" s="165"/>
      <c r="K251" s="165"/>
      <c r="L251" s="165"/>
      <c r="M251" s="165"/>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c r="BI251" s="152"/>
      <c r="BJ251" s="152"/>
      <c r="BK251" s="152"/>
      <c r="BL251" s="152"/>
      <c r="BM251" s="152"/>
      <c r="BN251" s="152"/>
      <c r="BO251" s="152"/>
      <c r="BP251" s="152"/>
      <c r="BQ251" s="152"/>
      <c r="BR251" s="152"/>
      <c r="BS251" s="152"/>
      <c r="BT251" s="152"/>
      <c r="BU251" s="152"/>
      <c r="BV251" s="152"/>
      <c r="BW251" s="152"/>
      <c r="BX251" s="152"/>
      <c r="BY251" s="152"/>
      <c r="BZ251" s="152"/>
      <c r="CA251" s="152"/>
      <c r="CB251" s="152"/>
      <c r="CC251" s="152"/>
      <c r="CD251" s="152"/>
      <c r="CE251" s="152"/>
      <c r="CF251" s="152"/>
      <c r="CG251" s="152"/>
      <c r="CH251" s="152"/>
      <c r="CI251" s="152"/>
      <c r="CJ251" s="152"/>
      <c r="CK251" s="152"/>
      <c r="CL251" s="152"/>
      <c r="CM251" s="152"/>
      <c r="CN251" s="152"/>
      <c r="CO251" s="152"/>
      <c r="CP251" s="152"/>
      <c r="CQ251" s="152"/>
      <c r="CR251" s="152"/>
      <c r="CS251" s="152"/>
      <c r="CT251" s="152"/>
      <c r="CU251" s="152"/>
      <c r="CV251" s="152"/>
      <c r="CW251" s="152"/>
      <c r="CX251" s="152"/>
      <c r="CY251" s="152"/>
      <c r="CZ251" s="152"/>
      <c r="DA251" s="152"/>
      <c r="DB251" s="152"/>
      <c r="DC251" s="152"/>
      <c r="DD251" s="152"/>
      <c r="DE251" s="152"/>
      <c r="DF251" s="152"/>
      <c r="DG251" s="152"/>
      <c r="DH251" s="152"/>
      <c r="DI251" s="152"/>
      <c r="DJ251" s="152"/>
      <c r="DK251" s="152"/>
      <c r="DL251" s="152"/>
      <c r="DM251" s="152"/>
      <c r="DN251" s="152"/>
      <c r="DO251" s="152"/>
      <c r="DP251" s="152"/>
      <c r="DQ251" s="152"/>
      <c r="DR251" s="152"/>
      <c r="DS251" s="152"/>
      <c r="DT251" s="152"/>
      <c r="DU251" s="152"/>
      <c r="DV251" s="152"/>
      <c r="DW251" s="152"/>
      <c r="DX251" s="152"/>
      <c r="DY251" s="152"/>
      <c r="DZ251" s="152"/>
      <c r="EA251" s="152"/>
      <c r="EB251" s="152"/>
      <c r="EC251" s="152"/>
      <c r="ED251" s="152"/>
      <c r="EE251" s="152"/>
      <c r="EF251" s="152"/>
      <c r="EG251" s="152"/>
      <c r="EH251" s="152"/>
      <c r="EI251" s="152"/>
      <c r="EJ251" s="152"/>
      <c r="EK251" s="152"/>
      <c r="EL251" s="152"/>
      <c r="EM251" s="152"/>
      <c r="EN251" s="152"/>
      <c r="EO251" s="152"/>
      <c r="EP251" s="152"/>
      <c r="EQ251" s="152"/>
      <c r="ER251" s="152"/>
      <c r="ES251" s="152"/>
      <c r="ET251" s="152"/>
      <c r="EU251" s="152"/>
      <c r="EV251" s="152"/>
      <c r="EW251" s="152"/>
      <c r="EX251" s="152"/>
      <c r="EY251" s="152"/>
      <c r="EZ251" s="152"/>
      <c r="FA251" s="152"/>
      <c r="FB251" s="152"/>
      <c r="FC251" s="152"/>
      <c r="FD251" s="152"/>
      <c r="FE251" s="152"/>
      <c r="FF251" s="152"/>
      <c r="FG251" s="152"/>
      <c r="FH251" s="152"/>
      <c r="FI251" s="152"/>
      <c r="FJ251" s="152"/>
      <c r="FK251" s="152"/>
      <c r="FL251" s="152"/>
      <c r="FM251" s="152"/>
      <c r="FN251" s="152"/>
      <c r="FO251" s="152"/>
      <c r="FP251" s="152"/>
      <c r="FQ251" s="152"/>
      <c r="FR251" s="152"/>
      <c r="FS251" s="152"/>
      <c r="FT251" s="152"/>
      <c r="FU251" s="152"/>
      <c r="FV251" s="152"/>
      <c r="FW251" s="152"/>
      <c r="FX251" s="152"/>
    </row>
    <row r="252" spans="1:180" s="152" customFormat="1" ht="30" customHeight="1" thickTop="1" thickBot="1" x14ac:dyDescent="0.3">
      <c r="A252" s="639" t="s">
        <v>0</v>
      </c>
      <c r="B252" s="639" t="s">
        <v>1</v>
      </c>
      <c r="C252" s="639" t="s">
        <v>2569</v>
      </c>
      <c r="D252" s="636" t="s">
        <v>1961</v>
      </c>
      <c r="E252" s="637"/>
      <c r="F252" s="637"/>
      <c r="G252" s="638"/>
      <c r="H252" s="636" t="s">
        <v>3</v>
      </c>
      <c r="I252" s="637"/>
      <c r="J252" s="636" t="s">
        <v>1962</v>
      </c>
      <c r="K252" s="637"/>
      <c r="L252" s="637"/>
      <c r="M252" s="638"/>
    </row>
    <row r="253" spans="1:180" s="152" customFormat="1" ht="34.5" customHeight="1" thickTop="1" thickBot="1" x14ac:dyDescent="0.3">
      <c r="A253" s="661"/>
      <c r="B253" s="661"/>
      <c r="C253" s="661"/>
      <c r="D253" s="406" t="s">
        <v>4</v>
      </c>
      <c r="E253" s="406" t="s">
        <v>5</v>
      </c>
      <c r="F253" s="406" t="s">
        <v>6</v>
      </c>
      <c r="G253" s="406" t="s">
        <v>7</v>
      </c>
      <c r="H253" s="406" t="s">
        <v>2</v>
      </c>
      <c r="I253" s="406" t="s">
        <v>3</v>
      </c>
      <c r="J253" s="406" t="s">
        <v>8</v>
      </c>
      <c r="K253" s="406" t="s">
        <v>9</v>
      </c>
      <c r="L253" s="406" t="s">
        <v>1963</v>
      </c>
      <c r="M253" s="406" t="s">
        <v>1964</v>
      </c>
    </row>
    <row r="254" spans="1:180" s="150" customFormat="1" ht="30.75" customHeight="1" thickTop="1" thickBot="1" x14ac:dyDescent="0.3">
      <c r="A254" s="371" t="s">
        <v>2483</v>
      </c>
      <c r="B254" s="625" t="s">
        <v>2545</v>
      </c>
      <c r="C254" s="419" t="s">
        <v>18</v>
      </c>
      <c r="D254" s="419">
        <v>2</v>
      </c>
      <c r="E254" s="423">
        <v>30</v>
      </c>
      <c r="F254" s="419">
        <v>3</v>
      </c>
      <c r="G254" s="423">
        <v>848</v>
      </c>
      <c r="H254" s="483">
        <v>510983481</v>
      </c>
      <c r="I254" s="483">
        <f>65025000+179332800</f>
        <v>244357800</v>
      </c>
      <c r="J254" s="340" t="s">
        <v>1151</v>
      </c>
      <c r="K254" s="423" t="s">
        <v>20</v>
      </c>
      <c r="L254" s="423">
        <v>450</v>
      </c>
      <c r="M254" s="423">
        <v>215</v>
      </c>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c r="BI254" s="152"/>
      <c r="BJ254" s="152"/>
      <c r="BK254" s="152"/>
      <c r="BL254" s="152"/>
      <c r="BM254" s="152"/>
      <c r="BN254" s="152"/>
      <c r="BO254" s="152"/>
      <c r="BP254" s="152"/>
      <c r="BQ254" s="152"/>
      <c r="BR254" s="152"/>
      <c r="BS254" s="152"/>
      <c r="BT254" s="152"/>
      <c r="BU254" s="152"/>
      <c r="BV254" s="152"/>
      <c r="BW254" s="152"/>
      <c r="BX254" s="152"/>
      <c r="BY254" s="152"/>
      <c r="BZ254" s="152"/>
      <c r="CA254" s="152"/>
      <c r="CB254" s="152"/>
      <c r="CC254" s="152"/>
      <c r="CD254" s="152"/>
      <c r="CE254" s="152"/>
      <c r="CF254" s="152"/>
      <c r="CG254" s="152"/>
      <c r="CH254" s="152"/>
      <c r="CI254" s="152"/>
      <c r="CJ254" s="152"/>
      <c r="CK254" s="152"/>
      <c r="CL254" s="152"/>
      <c r="CM254" s="152"/>
      <c r="CN254" s="152"/>
      <c r="CO254" s="152"/>
      <c r="CP254" s="152"/>
      <c r="CQ254" s="152"/>
      <c r="CR254" s="152"/>
      <c r="CS254" s="152"/>
      <c r="CT254" s="152"/>
      <c r="CU254" s="152"/>
      <c r="CV254" s="152"/>
      <c r="CW254" s="152"/>
      <c r="CX254" s="152"/>
      <c r="CY254" s="152"/>
      <c r="CZ254" s="152"/>
      <c r="DA254" s="152"/>
      <c r="DB254" s="152"/>
      <c r="DC254" s="152"/>
      <c r="DD254" s="152"/>
      <c r="DE254" s="152"/>
      <c r="DF254" s="152"/>
      <c r="DG254" s="152"/>
      <c r="DH254" s="152"/>
      <c r="DI254" s="152"/>
      <c r="DJ254" s="152"/>
      <c r="DK254" s="152"/>
      <c r="DL254" s="152"/>
      <c r="DM254" s="152"/>
      <c r="DN254" s="152"/>
      <c r="DO254" s="152"/>
      <c r="DP254" s="152"/>
      <c r="DQ254" s="152"/>
      <c r="DR254" s="152"/>
      <c r="DS254" s="152"/>
      <c r="DT254" s="152"/>
      <c r="DU254" s="152"/>
      <c r="DV254" s="152"/>
      <c r="DW254" s="152"/>
      <c r="DX254" s="152"/>
      <c r="DY254" s="152"/>
      <c r="DZ254" s="152"/>
      <c r="EA254" s="152"/>
      <c r="EB254" s="152"/>
      <c r="EC254" s="152"/>
      <c r="ED254" s="152"/>
      <c r="EE254" s="152"/>
      <c r="EF254" s="152"/>
      <c r="EG254" s="152"/>
      <c r="EH254" s="152"/>
      <c r="EI254" s="152"/>
      <c r="EJ254" s="152"/>
      <c r="EK254" s="152"/>
      <c r="EL254" s="152"/>
      <c r="EM254" s="152"/>
      <c r="EN254" s="152"/>
      <c r="EO254" s="152"/>
      <c r="EP254" s="152"/>
      <c r="EQ254" s="152"/>
      <c r="ER254" s="152"/>
      <c r="ES254" s="152"/>
      <c r="ET254" s="152"/>
      <c r="EU254" s="152"/>
      <c r="EV254" s="152"/>
      <c r="EW254" s="152"/>
      <c r="EX254" s="152"/>
      <c r="EY254" s="152"/>
      <c r="EZ254" s="152"/>
      <c r="FA254" s="152"/>
      <c r="FB254" s="152"/>
      <c r="FC254" s="152"/>
      <c r="FD254" s="152"/>
      <c r="FE254" s="152"/>
      <c r="FF254" s="152"/>
      <c r="FG254" s="152"/>
      <c r="FH254" s="152"/>
      <c r="FI254" s="152"/>
      <c r="FJ254" s="152"/>
      <c r="FK254" s="152"/>
      <c r="FL254" s="152"/>
      <c r="FM254" s="152"/>
      <c r="FN254" s="152"/>
      <c r="FO254" s="152"/>
      <c r="FP254" s="152"/>
      <c r="FQ254" s="152"/>
      <c r="FR254" s="152"/>
      <c r="FS254" s="152"/>
      <c r="FT254" s="152"/>
      <c r="FU254" s="152"/>
      <c r="FV254" s="152"/>
      <c r="FW254" s="152"/>
      <c r="FX254" s="152"/>
    </row>
    <row r="255" spans="1:180" s="150" customFormat="1" ht="41.25" customHeight="1" thickTop="1" thickBot="1" x14ac:dyDescent="0.3">
      <c r="A255" s="371" t="s">
        <v>2483</v>
      </c>
      <c r="B255" s="625" t="s">
        <v>2545</v>
      </c>
      <c r="C255" s="675" t="s">
        <v>179</v>
      </c>
      <c r="D255" s="419">
        <v>2</v>
      </c>
      <c r="E255" s="423">
        <v>30</v>
      </c>
      <c r="F255" s="419">
        <v>3</v>
      </c>
      <c r="G255" s="423">
        <v>520</v>
      </c>
      <c r="H255" s="483">
        <f>200000000+200000000</f>
        <v>400000000</v>
      </c>
      <c r="I255" s="483">
        <v>232040225</v>
      </c>
      <c r="J255" s="340" t="s">
        <v>1152</v>
      </c>
      <c r="K255" s="423" t="s">
        <v>55</v>
      </c>
      <c r="L255" s="423">
        <v>5</v>
      </c>
      <c r="M255" s="423">
        <v>3</v>
      </c>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c r="BI255" s="152"/>
      <c r="BJ255" s="152"/>
      <c r="BK255" s="152"/>
      <c r="BL255" s="152"/>
      <c r="BM255" s="152"/>
      <c r="BN255" s="152"/>
      <c r="BO255" s="152"/>
      <c r="BP255" s="152"/>
      <c r="BQ255" s="152"/>
      <c r="BR255" s="152"/>
      <c r="BS255" s="152"/>
      <c r="BT255" s="152"/>
      <c r="BU255" s="152"/>
      <c r="BV255" s="152"/>
      <c r="BW255" s="152"/>
      <c r="BX255" s="152"/>
      <c r="BY255" s="152"/>
      <c r="BZ255" s="152"/>
      <c r="CA255" s="152"/>
      <c r="CB255" s="152"/>
      <c r="CC255" s="152"/>
      <c r="CD255" s="152"/>
      <c r="CE255" s="152"/>
      <c r="CF255" s="152"/>
      <c r="CG255" s="152"/>
      <c r="CH255" s="152"/>
      <c r="CI255" s="152"/>
      <c r="CJ255" s="152"/>
      <c r="CK255" s="152"/>
      <c r="CL255" s="152"/>
      <c r="CM255" s="152"/>
      <c r="CN255" s="152"/>
      <c r="CO255" s="152"/>
      <c r="CP255" s="152"/>
      <c r="CQ255" s="152"/>
      <c r="CR255" s="152"/>
      <c r="CS255" s="152"/>
      <c r="CT255" s="152"/>
      <c r="CU255" s="152"/>
      <c r="CV255" s="152"/>
      <c r="CW255" s="152"/>
      <c r="CX255" s="152"/>
      <c r="CY255" s="152"/>
      <c r="CZ255" s="152"/>
      <c r="DA255" s="152"/>
      <c r="DB255" s="152"/>
      <c r="DC255" s="152"/>
      <c r="DD255" s="152"/>
      <c r="DE255" s="152"/>
      <c r="DF255" s="152"/>
      <c r="DG255" s="152"/>
      <c r="DH255" s="152"/>
      <c r="DI255" s="152"/>
      <c r="DJ255" s="152"/>
      <c r="DK255" s="152"/>
      <c r="DL255" s="152"/>
      <c r="DM255" s="152"/>
      <c r="DN255" s="152"/>
      <c r="DO255" s="152"/>
      <c r="DP255" s="152"/>
      <c r="DQ255" s="152"/>
      <c r="DR255" s="152"/>
      <c r="DS255" s="152"/>
      <c r="DT255" s="152"/>
      <c r="DU255" s="152"/>
      <c r="DV255" s="152"/>
      <c r="DW255" s="152"/>
      <c r="DX255" s="152"/>
      <c r="DY255" s="152"/>
      <c r="DZ255" s="152"/>
      <c r="EA255" s="152"/>
      <c r="EB255" s="152"/>
      <c r="EC255" s="152"/>
      <c r="ED255" s="152"/>
      <c r="EE255" s="152"/>
      <c r="EF255" s="152"/>
      <c r="EG255" s="152"/>
      <c r="EH255" s="152"/>
      <c r="EI255" s="152"/>
      <c r="EJ255" s="152"/>
      <c r="EK255" s="152"/>
      <c r="EL255" s="152"/>
      <c r="EM255" s="152"/>
      <c r="EN255" s="152"/>
      <c r="EO255" s="152"/>
      <c r="EP255" s="152"/>
      <c r="EQ255" s="152"/>
      <c r="ER255" s="152"/>
      <c r="ES255" s="152"/>
      <c r="ET255" s="152"/>
      <c r="EU255" s="152"/>
      <c r="EV255" s="152"/>
      <c r="EW255" s="152"/>
      <c r="EX255" s="152"/>
      <c r="EY255" s="152"/>
      <c r="EZ255" s="152"/>
      <c r="FA255" s="152"/>
      <c r="FB255" s="152"/>
      <c r="FC255" s="152"/>
      <c r="FD255" s="152"/>
      <c r="FE255" s="152"/>
      <c r="FF255" s="152"/>
      <c r="FG255" s="152"/>
      <c r="FH255" s="152"/>
      <c r="FI255" s="152"/>
      <c r="FJ255" s="152"/>
      <c r="FK255" s="152"/>
      <c r="FL255" s="152"/>
      <c r="FM255" s="152"/>
      <c r="FN255" s="152"/>
      <c r="FO255" s="152"/>
      <c r="FP255" s="152"/>
      <c r="FQ255" s="152"/>
      <c r="FR255" s="152"/>
      <c r="FS255" s="152"/>
      <c r="FT255" s="152"/>
      <c r="FU255" s="152"/>
      <c r="FV255" s="152"/>
      <c r="FW255" s="152"/>
      <c r="FX255" s="152"/>
    </row>
    <row r="256" spans="1:180" s="150" customFormat="1" ht="41.25" customHeight="1" thickTop="1" thickBot="1" x14ac:dyDescent="0.3">
      <c r="A256" s="371" t="s">
        <v>2483</v>
      </c>
      <c r="B256" s="625" t="s">
        <v>2545</v>
      </c>
      <c r="C256" s="676"/>
      <c r="D256" s="419">
        <v>2</v>
      </c>
      <c r="E256" s="423">
        <v>30</v>
      </c>
      <c r="F256" s="419">
        <v>3</v>
      </c>
      <c r="G256" s="423">
        <v>520</v>
      </c>
      <c r="H256" s="483">
        <f>400000000+29158929-19461375+74000000+190947</f>
        <v>483888501</v>
      </c>
      <c r="I256" s="483">
        <v>26606118</v>
      </c>
      <c r="J256" s="340" t="s">
        <v>1087</v>
      </c>
      <c r="K256" s="423" t="s">
        <v>55</v>
      </c>
      <c r="L256" s="423">
        <v>6</v>
      </c>
      <c r="M256" s="423">
        <v>1</v>
      </c>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c r="BI256" s="152"/>
      <c r="BJ256" s="152"/>
      <c r="BK256" s="152"/>
      <c r="BL256" s="152"/>
      <c r="BM256" s="152"/>
      <c r="BN256" s="152"/>
      <c r="BO256" s="152"/>
      <c r="BP256" s="152"/>
      <c r="BQ256" s="152"/>
      <c r="BR256" s="152"/>
      <c r="BS256" s="152"/>
      <c r="BT256" s="152"/>
      <c r="BU256" s="152"/>
      <c r="BV256" s="152"/>
      <c r="BW256" s="152"/>
      <c r="BX256" s="152"/>
      <c r="BY256" s="152"/>
      <c r="BZ256" s="152"/>
      <c r="CA256" s="152"/>
      <c r="CB256" s="152"/>
      <c r="CC256" s="152"/>
      <c r="CD256" s="152"/>
      <c r="CE256" s="152"/>
      <c r="CF256" s="152"/>
      <c r="CG256" s="152"/>
      <c r="CH256" s="152"/>
      <c r="CI256" s="152"/>
      <c r="CJ256" s="152"/>
      <c r="CK256" s="152"/>
      <c r="CL256" s="152"/>
      <c r="CM256" s="152"/>
      <c r="CN256" s="152"/>
      <c r="CO256" s="152"/>
      <c r="CP256" s="152"/>
      <c r="CQ256" s="152"/>
      <c r="CR256" s="152"/>
      <c r="CS256" s="152"/>
      <c r="CT256" s="152"/>
      <c r="CU256" s="152"/>
      <c r="CV256" s="152"/>
      <c r="CW256" s="152"/>
      <c r="CX256" s="152"/>
      <c r="CY256" s="152"/>
      <c r="CZ256" s="152"/>
      <c r="DA256" s="152"/>
      <c r="DB256" s="152"/>
      <c r="DC256" s="152"/>
      <c r="DD256" s="152"/>
      <c r="DE256" s="152"/>
      <c r="DF256" s="152"/>
      <c r="DG256" s="152"/>
      <c r="DH256" s="152"/>
      <c r="DI256" s="152"/>
      <c r="DJ256" s="152"/>
      <c r="DK256" s="152"/>
      <c r="DL256" s="152"/>
      <c r="DM256" s="152"/>
      <c r="DN256" s="152"/>
      <c r="DO256" s="152"/>
      <c r="DP256" s="152"/>
      <c r="DQ256" s="152"/>
      <c r="DR256" s="152"/>
      <c r="DS256" s="152"/>
      <c r="DT256" s="152"/>
      <c r="DU256" s="152"/>
      <c r="DV256" s="152"/>
      <c r="DW256" s="152"/>
      <c r="DX256" s="152"/>
      <c r="DY256" s="152"/>
      <c r="DZ256" s="152"/>
      <c r="EA256" s="152"/>
      <c r="EB256" s="152"/>
      <c r="EC256" s="152"/>
      <c r="ED256" s="152"/>
      <c r="EE256" s="152"/>
      <c r="EF256" s="152"/>
      <c r="EG256" s="152"/>
      <c r="EH256" s="152"/>
      <c r="EI256" s="152"/>
      <c r="EJ256" s="152"/>
      <c r="EK256" s="152"/>
      <c r="EL256" s="152"/>
      <c r="EM256" s="152"/>
      <c r="EN256" s="152"/>
      <c r="EO256" s="152"/>
      <c r="EP256" s="152"/>
      <c r="EQ256" s="152"/>
      <c r="ER256" s="152"/>
      <c r="ES256" s="152"/>
      <c r="ET256" s="152"/>
      <c r="EU256" s="152"/>
      <c r="EV256" s="152"/>
      <c r="EW256" s="152"/>
      <c r="EX256" s="152"/>
      <c r="EY256" s="152"/>
      <c r="EZ256" s="152"/>
      <c r="FA256" s="152"/>
      <c r="FB256" s="152"/>
      <c r="FC256" s="152"/>
      <c r="FD256" s="152"/>
      <c r="FE256" s="152"/>
      <c r="FF256" s="152"/>
      <c r="FG256" s="152"/>
      <c r="FH256" s="152"/>
      <c r="FI256" s="152"/>
      <c r="FJ256" s="152"/>
      <c r="FK256" s="152"/>
      <c r="FL256" s="152"/>
      <c r="FM256" s="152"/>
      <c r="FN256" s="152"/>
      <c r="FO256" s="152"/>
      <c r="FP256" s="152"/>
      <c r="FQ256" s="152"/>
      <c r="FR256" s="152"/>
      <c r="FS256" s="152"/>
      <c r="FT256" s="152"/>
      <c r="FU256" s="152"/>
      <c r="FV256" s="152"/>
      <c r="FW256" s="152"/>
      <c r="FX256" s="152"/>
    </row>
    <row r="257" spans="1:180" s="150" customFormat="1" ht="32.25" customHeight="1" thickTop="1" thickBot="1" x14ac:dyDescent="0.3">
      <c r="A257" s="371" t="s">
        <v>2483</v>
      </c>
      <c r="B257" s="625" t="s">
        <v>2545</v>
      </c>
      <c r="C257" s="676"/>
      <c r="D257" s="419">
        <v>2</v>
      </c>
      <c r="E257" s="423">
        <v>30</v>
      </c>
      <c r="F257" s="419">
        <v>3</v>
      </c>
      <c r="G257" s="423">
        <v>520</v>
      </c>
      <c r="H257" s="483">
        <v>150000000</v>
      </c>
      <c r="I257" s="483">
        <v>0</v>
      </c>
      <c r="J257" s="340" t="s">
        <v>1153</v>
      </c>
      <c r="K257" s="423" t="s">
        <v>25</v>
      </c>
      <c r="L257" s="423">
        <v>4</v>
      </c>
      <c r="M257" s="423">
        <v>0</v>
      </c>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c r="BI257" s="152"/>
      <c r="BJ257" s="152"/>
      <c r="BK257" s="152"/>
      <c r="BL257" s="152"/>
      <c r="BM257" s="152"/>
      <c r="BN257" s="152"/>
      <c r="BO257" s="152"/>
      <c r="BP257" s="152"/>
      <c r="BQ257" s="152"/>
      <c r="BR257" s="152"/>
      <c r="BS257" s="152"/>
      <c r="BT257" s="152"/>
      <c r="BU257" s="152"/>
      <c r="BV257" s="152"/>
      <c r="BW257" s="152"/>
      <c r="BX257" s="152"/>
      <c r="BY257" s="152"/>
      <c r="BZ257" s="152"/>
      <c r="CA257" s="152"/>
      <c r="CB257" s="152"/>
      <c r="CC257" s="152"/>
      <c r="CD257" s="152"/>
      <c r="CE257" s="152"/>
      <c r="CF257" s="152"/>
      <c r="CG257" s="152"/>
      <c r="CH257" s="152"/>
      <c r="CI257" s="152"/>
      <c r="CJ257" s="152"/>
      <c r="CK257" s="152"/>
      <c r="CL257" s="152"/>
      <c r="CM257" s="152"/>
      <c r="CN257" s="152"/>
      <c r="CO257" s="152"/>
      <c r="CP257" s="152"/>
      <c r="CQ257" s="152"/>
      <c r="CR257" s="152"/>
      <c r="CS257" s="152"/>
      <c r="CT257" s="152"/>
      <c r="CU257" s="152"/>
      <c r="CV257" s="152"/>
      <c r="CW257" s="152"/>
      <c r="CX257" s="152"/>
      <c r="CY257" s="152"/>
      <c r="CZ257" s="152"/>
      <c r="DA257" s="152"/>
      <c r="DB257" s="152"/>
      <c r="DC257" s="152"/>
      <c r="DD257" s="152"/>
      <c r="DE257" s="152"/>
      <c r="DF257" s="152"/>
      <c r="DG257" s="152"/>
      <c r="DH257" s="152"/>
      <c r="DI257" s="152"/>
      <c r="DJ257" s="152"/>
      <c r="DK257" s="152"/>
      <c r="DL257" s="152"/>
      <c r="DM257" s="152"/>
      <c r="DN257" s="152"/>
      <c r="DO257" s="152"/>
      <c r="DP257" s="152"/>
      <c r="DQ257" s="152"/>
      <c r="DR257" s="152"/>
      <c r="DS257" s="152"/>
      <c r="DT257" s="152"/>
      <c r="DU257" s="152"/>
      <c r="DV257" s="152"/>
      <c r="DW257" s="152"/>
      <c r="DX257" s="152"/>
      <c r="DY257" s="152"/>
      <c r="DZ257" s="152"/>
      <c r="EA257" s="152"/>
      <c r="EB257" s="152"/>
      <c r="EC257" s="152"/>
      <c r="ED257" s="152"/>
      <c r="EE257" s="152"/>
      <c r="EF257" s="152"/>
      <c r="EG257" s="152"/>
      <c r="EH257" s="152"/>
      <c r="EI257" s="152"/>
      <c r="EJ257" s="152"/>
      <c r="EK257" s="152"/>
      <c r="EL257" s="152"/>
      <c r="EM257" s="152"/>
      <c r="EN257" s="152"/>
      <c r="EO257" s="152"/>
      <c r="EP257" s="152"/>
      <c r="EQ257" s="152"/>
      <c r="ER257" s="152"/>
      <c r="ES257" s="152"/>
      <c r="ET257" s="152"/>
      <c r="EU257" s="152"/>
      <c r="EV257" s="152"/>
      <c r="EW257" s="152"/>
      <c r="EX257" s="152"/>
      <c r="EY257" s="152"/>
      <c r="EZ257" s="152"/>
      <c r="FA257" s="152"/>
      <c r="FB257" s="152"/>
      <c r="FC257" s="152"/>
      <c r="FD257" s="152"/>
      <c r="FE257" s="152"/>
      <c r="FF257" s="152"/>
      <c r="FG257" s="152"/>
      <c r="FH257" s="152"/>
      <c r="FI257" s="152"/>
      <c r="FJ257" s="152"/>
      <c r="FK257" s="152"/>
      <c r="FL257" s="152"/>
      <c r="FM257" s="152"/>
      <c r="FN257" s="152"/>
      <c r="FO257" s="152"/>
      <c r="FP257" s="152"/>
      <c r="FQ257" s="152"/>
      <c r="FR257" s="152"/>
      <c r="FS257" s="152"/>
      <c r="FT257" s="152"/>
      <c r="FU257" s="152"/>
      <c r="FV257" s="152"/>
      <c r="FW257" s="152"/>
      <c r="FX257" s="152"/>
    </row>
    <row r="258" spans="1:180" s="150" customFormat="1" ht="41.25" customHeight="1" thickTop="1" thickBot="1" x14ac:dyDescent="0.3">
      <c r="A258" s="371" t="s">
        <v>2483</v>
      </c>
      <c r="B258" s="625" t="s">
        <v>2545</v>
      </c>
      <c r="C258" s="677"/>
      <c r="D258" s="423">
        <v>2</v>
      </c>
      <c r="E258" s="423">
        <v>30</v>
      </c>
      <c r="F258" s="423">
        <v>3</v>
      </c>
      <c r="G258" s="423">
        <v>520</v>
      </c>
      <c r="H258" s="483">
        <v>19461375</v>
      </c>
      <c r="I258" s="483">
        <v>19461375</v>
      </c>
      <c r="J258" s="340" t="s">
        <v>1085</v>
      </c>
      <c r="K258" s="423" t="s">
        <v>55</v>
      </c>
      <c r="L258" s="423">
        <v>1</v>
      </c>
      <c r="M258" s="423">
        <v>1</v>
      </c>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c r="BI258" s="152"/>
      <c r="BJ258" s="152"/>
      <c r="BK258" s="152"/>
      <c r="BL258" s="152"/>
      <c r="BM258" s="152"/>
      <c r="BN258" s="152"/>
      <c r="BO258" s="152"/>
      <c r="BP258" s="152"/>
      <c r="BQ258" s="152"/>
      <c r="BR258" s="152"/>
      <c r="BS258" s="152"/>
      <c r="BT258" s="152"/>
      <c r="BU258" s="152"/>
      <c r="BV258" s="152"/>
      <c r="BW258" s="152"/>
      <c r="BX258" s="152"/>
      <c r="BY258" s="152"/>
      <c r="BZ258" s="152"/>
      <c r="CA258" s="152"/>
      <c r="CB258" s="152"/>
      <c r="CC258" s="152"/>
      <c r="CD258" s="152"/>
      <c r="CE258" s="152"/>
      <c r="CF258" s="152"/>
      <c r="CG258" s="152"/>
      <c r="CH258" s="152"/>
      <c r="CI258" s="152"/>
      <c r="CJ258" s="152"/>
      <c r="CK258" s="152"/>
      <c r="CL258" s="152"/>
      <c r="CM258" s="152"/>
      <c r="CN258" s="152"/>
      <c r="CO258" s="152"/>
      <c r="CP258" s="152"/>
      <c r="CQ258" s="152"/>
      <c r="CR258" s="152"/>
      <c r="CS258" s="152"/>
      <c r="CT258" s="152"/>
      <c r="CU258" s="152"/>
      <c r="CV258" s="152"/>
      <c r="CW258" s="152"/>
      <c r="CX258" s="152"/>
      <c r="CY258" s="152"/>
      <c r="CZ258" s="152"/>
      <c r="DA258" s="152"/>
      <c r="DB258" s="152"/>
      <c r="DC258" s="152"/>
      <c r="DD258" s="152"/>
      <c r="DE258" s="152"/>
      <c r="DF258" s="152"/>
      <c r="DG258" s="152"/>
      <c r="DH258" s="152"/>
      <c r="DI258" s="152"/>
      <c r="DJ258" s="152"/>
      <c r="DK258" s="152"/>
      <c r="DL258" s="152"/>
      <c r="DM258" s="152"/>
      <c r="DN258" s="152"/>
      <c r="DO258" s="152"/>
      <c r="DP258" s="152"/>
      <c r="DQ258" s="152"/>
      <c r="DR258" s="152"/>
      <c r="DS258" s="152"/>
      <c r="DT258" s="152"/>
      <c r="DU258" s="152"/>
      <c r="DV258" s="152"/>
      <c r="DW258" s="152"/>
      <c r="DX258" s="152"/>
      <c r="DY258" s="152"/>
      <c r="DZ258" s="152"/>
      <c r="EA258" s="152"/>
      <c r="EB258" s="152"/>
      <c r="EC258" s="152"/>
      <c r="ED258" s="152"/>
      <c r="EE258" s="152"/>
      <c r="EF258" s="152"/>
      <c r="EG258" s="152"/>
      <c r="EH258" s="152"/>
      <c r="EI258" s="152"/>
      <c r="EJ258" s="152"/>
      <c r="EK258" s="152"/>
      <c r="EL258" s="152"/>
      <c r="EM258" s="152"/>
      <c r="EN258" s="152"/>
      <c r="EO258" s="152"/>
      <c r="EP258" s="152"/>
      <c r="EQ258" s="152"/>
      <c r="ER258" s="152"/>
      <c r="ES258" s="152"/>
      <c r="ET258" s="152"/>
      <c r="EU258" s="152"/>
      <c r="EV258" s="152"/>
      <c r="EW258" s="152"/>
      <c r="EX258" s="152"/>
      <c r="EY258" s="152"/>
      <c r="EZ258" s="152"/>
      <c r="FA258" s="152"/>
      <c r="FB258" s="152"/>
      <c r="FC258" s="152"/>
      <c r="FD258" s="152"/>
      <c r="FE258" s="152"/>
      <c r="FF258" s="152"/>
      <c r="FG258" s="152"/>
      <c r="FH258" s="152"/>
      <c r="FI258" s="152"/>
      <c r="FJ258" s="152"/>
      <c r="FK258" s="152"/>
      <c r="FL258" s="152"/>
      <c r="FM258" s="152"/>
      <c r="FN258" s="152"/>
      <c r="FO258" s="152"/>
      <c r="FP258" s="152"/>
      <c r="FQ258" s="152"/>
      <c r="FR258" s="152"/>
      <c r="FS258" s="152"/>
      <c r="FT258" s="152"/>
      <c r="FU258" s="152"/>
      <c r="FV258" s="152"/>
      <c r="FW258" s="152"/>
      <c r="FX258" s="152"/>
    </row>
    <row r="259" spans="1:180" ht="15.75" thickTop="1" x14ac:dyDescent="0.25"/>
  </sheetData>
  <mergeCells count="193">
    <mergeCell ref="C255:C258"/>
    <mergeCell ref="H252:I252"/>
    <mergeCell ref="J252:M252"/>
    <mergeCell ref="C7:C8"/>
    <mergeCell ref="C29:C30"/>
    <mergeCell ref="C40:C41"/>
    <mergeCell ref="C45:C46"/>
    <mergeCell ref="C58:C59"/>
    <mergeCell ref="C60:C62"/>
    <mergeCell ref="C98:C99"/>
    <mergeCell ref="C100:C103"/>
    <mergeCell ref="C104:C106"/>
    <mergeCell ref="C117:C118"/>
    <mergeCell ref="C158:C160"/>
    <mergeCell ref="C175:C179"/>
    <mergeCell ref="C180:C185"/>
    <mergeCell ref="C218:C220"/>
    <mergeCell ref="C226:C227"/>
    <mergeCell ref="H37:I37"/>
    <mergeCell ref="J37:M37"/>
    <mergeCell ref="H43:I43"/>
    <mergeCell ref="J43:M43"/>
    <mergeCell ref="H56:I56"/>
    <mergeCell ref="J56:M56"/>
    <mergeCell ref="H64:I64"/>
    <mergeCell ref="J64:M64"/>
    <mergeCell ref="H83:I83"/>
    <mergeCell ref="J83:M83"/>
    <mergeCell ref="B164:B165"/>
    <mergeCell ref="B172:B173"/>
    <mergeCell ref="B188:B189"/>
    <mergeCell ref="B193:B194"/>
    <mergeCell ref="B201:B202"/>
    <mergeCell ref="H172:I172"/>
    <mergeCell ref="J172:M172"/>
    <mergeCell ref="H188:I188"/>
    <mergeCell ref="J188:M188"/>
    <mergeCell ref="H85:H86"/>
    <mergeCell ref="I85:I86"/>
    <mergeCell ref="E85:E86"/>
    <mergeCell ref="F85:F86"/>
    <mergeCell ref="G85:G86"/>
    <mergeCell ref="H96:I96"/>
    <mergeCell ref="J96:M96"/>
    <mergeCell ref="C96:C97"/>
    <mergeCell ref="D96:G96"/>
    <mergeCell ref="H143:I143"/>
    <mergeCell ref="C92:C94"/>
    <mergeCell ref="B223:B224"/>
    <mergeCell ref="B230:B231"/>
    <mergeCell ref="B242:B243"/>
    <mergeCell ref="B252:B253"/>
    <mergeCell ref="B56:B57"/>
    <mergeCell ref="B64:B65"/>
    <mergeCell ref="B83:B84"/>
    <mergeCell ref="B96:B97"/>
    <mergeCell ref="B109:B110"/>
    <mergeCell ref="B120:B121"/>
    <mergeCell ref="B136:B137"/>
    <mergeCell ref="B143:B144"/>
    <mergeCell ref="B155:B156"/>
    <mergeCell ref="A193:A194"/>
    <mergeCell ref="C193:C194"/>
    <mergeCell ref="D193:G193"/>
    <mergeCell ref="A188:A189"/>
    <mergeCell ref="C188:C189"/>
    <mergeCell ref="D188:G188"/>
    <mergeCell ref="A172:A173"/>
    <mergeCell ref="C172:C173"/>
    <mergeCell ref="D172:G172"/>
    <mergeCell ref="C109:C110"/>
    <mergeCell ref="D109:G109"/>
    <mergeCell ref="H109:I109"/>
    <mergeCell ref="H136:I136"/>
    <mergeCell ref="J136:M136"/>
    <mergeCell ref="A164:A165"/>
    <mergeCell ref="C164:C165"/>
    <mergeCell ref="D164:G164"/>
    <mergeCell ref="A155:A156"/>
    <mergeCell ref="C155:C156"/>
    <mergeCell ref="D155:G155"/>
    <mergeCell ref="A143:A144"/>
    <mergeCell ref="C143:C144"/>
    <mergeCell ref="D143:G143"/>
    <mergeCell ref="C127:C134"/>
    <mergeCell ref="H7:H8"/>
    <mergeCell ref="I7:I8"/>
    <mergeCell ref="C233:C238"/>
    <mergeCell ref="C239:C240"/>
    <mergeCell ref="C245:C250"/>
    <mergeCell ref="C196:C199"/>
    <mergeCell ref="C203:C205"/>
    <mergeCell ref="D218:D219"/>
    <mergeCell ref="E218:E219"/>
    <mergeCell ref="F218:F219"/>
    <mergeCell ref="G218:G219"/>
    <mergeCell ref="C230:C231"/>
    <mergeCell ref="D230:G230"/>
    <mergeCell ref="D242:G242"/>
    <mergeCell ref="H223:I223"/>
    <mergeCell ref="H230:I230"/>
    <mergeCell ref="C64:C65"/>
    <mergeCell ref="D64:G64"/>
    <mergeCell ref="C167:C170"/>
    <mergeCell ref="C152:C153"/>
    <mergeCell ref="C161:C162"/>
    <mergeCell ref="C123:C125"/>
    <mergeCell ref="C83:C84"/>
    <mergeCell ref="D83:G83"/>
    <mergeCell ref="C22:C23"/>
    <mergeCell ref="D22:D23"/>
    <mergeCell ref="E22:E23"/>
    <mergeCell ref="F22:F23"/>
    <mergeCell ref="G22:G23"/>
    <mergeCell ref="C9:C11"/>
    <mergeCell ref="C12:C14"/>
    <mergeCell ref="C15:C18"/>
    <mergeCell ref="D7:D8"/>
    <mergeCell ref="E7:E8"/>
    <mergeCell ref="F7:F8"/>
    <mergeCell ref="G7:G8"/>
    <mergeCell ref="H5:I5"/>
    <mergeCell ref="J5:M5"/>
    <mergeCell ref="A43:A44"/>
    <mergeCell ref="D43:G43"/>
    <mergeCell ref="C20:C21"/>
    <mergeCell ref="D20:G20"/>
    <mergeCell ref="A37:A38"/>
    <mergeCell ref="C37:C38"/>
    <mergeCell ref="D37:G37"/>
    <mergeCell ref="A5:A6"/>
    <mergeCell ref="C5:C6"/>
    <mergeCell ref="A20:A21"/>
    <mergeCell ref="C43:C44"/>
    <mergeCell ref="B5:B6"/>
    <mergeCell ref="B20:B21"/>
    <mergeCell ref="B37:B38"/>
    <mergeCell ref="B43:B44"/>
    <mergeCell ref="D5:G5"/>
    <mergeCell ref="H20:I20"/>
    <mergeCell ref="J20:M20"/>
    <mergeCell ref="H22:H23"/>
    <mergeCell ref="I22:I23"/>
    <mergeCell ref="C24:C28"/>
    <mergeCell ref="C31:C33"/>
    <mergeCell ref="D56:G56"/>
    <mergeCell ref="A201:A202"/>
    <mergeCell ref="C201:C202"/>
    <mergeCell ref="D201:G201"/>
    <mergeCell ref="A56:A57"/>
    <mergeCell ref="C56:C57"/>
    <mergeCell ref="A223:A224"/>
    <mergeCell ref="C223:C224"/>
    <mergeCell ref="D223:G223"/>
    <mergeCell ref="A64:A65"/>
    <mergeCell ref="A96:A97"/>
    <mergeCell ref="A83:A84"/>
    <mergeCell ref="C67:C77"/>
    <mergeCell ref="C78:C80"/>
    <mergeCell ref="C146:C150"/>
    <mergeCell ref="C112:C115"/>
    <mergeCell ref="C85:C86"/>
    <mergeCell ref="D85:D86"/>
    <mergeCell ref="A136:A137"/>
    <mergeCell ref="C136:C137"/>
    <mergeCell ref="D136:G136"/>
    <mergeCell ref="A120:A121"/>
    <mergeCell ref="C120:C121"/>
    <mergeCell ref="D120:G120"/>
    <mergeCell ref="C87:C91"/>
    <mergeCell ref="H242:I242"/>
    <mergeCell ref="J242:M242"/>
    <mergeCell ref="A252:A253"/>
    <mergeCell ref="C252:C253"/>
    <mergeCell ref="D252:G252"/>
    <mergeCell ref="A242:A243"/>
    <mergeCell ref="C242:C243"/>
    <mergeCell ref="J223:M223"/>
    <mergeCell ref="A230:A231"/>
    <mergeCell ref="J230:M230"/>
    <mergeCell ref="J143:M143"/>
    <mergeCell ref="H155:I155"/>
    <mergeCell ref="J155:M155"/>
    <mergeCell ref="H164:I164"/>
    <mergeCell ref="J164:M164"/>
    <mergeCell ref="H193:I193"/>
    <mergeCell ref="J193:M193"/>
    <mergeCell ref="H201:I201"/>
    <mergeCell ref="J201:M201"/>
    <mergeCell ref="J109:M109"/>
    <mergeCell ref="J120:M120"/>
    <mergeCell ref="H120:I120"/>
    <mergeCell ref="A109:A11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EY194"/>
  <sheetViews>
    <sheetView showGridLines="0" workbookViewId="0">
      <selection activeCell="C5" sqref="C5:C6"/>
    </sheetView>
  </sheetViews>
  <sheetFormatPr baseColWidth="10" defaultRowHeight="15" x14ac:dyDescent="0.25"/>
  <cols>
    <col min="1" max="1" width="19.7109375" customWidth="1"/>
    <col min="2" max="2" width="20" customWidth="1"/>
    <col min="3" max="3" width="21.85546875" customWidth="1"/>
    <col min="4" max="7" width="8.7109375" customWidth="1"/>
    <col min="8" max="9" width="15.140625" customWidth="1"/>
    <col min="10" max="10" width="32.140625" customWidth="1"/>
    <col min="11" max="11" width="12.140625" customWidth="1"/>
    <col min="12" max="13" width="15.140625" customWidth="1"/>
  </cols>
  <sheetData>
    <row r="4" spans="1:13" ht="15.75" thickBot="1" x14ac:dyDescent="0.3"/>
    <row r="5" spans="1:13" ht="30" customHeight="1" thickTop="1" thickBot="1" x14ac:dyDescent="0.3">
      <c r="A5" s="639" t="s">
        <v>0</v>
      </c>
      <c r="B5" s="639" t="s">
        <v>1</v>
      </c>
      <c r="C5" s="639" t="s">
        <v>2569</v>
      </c>
      <c r="D5" s="636" t="s">
        <v>1961</v>
      </c>
      <c r="E5" s="637"/>
      <c r="F5" s="637"/>
      <c r="G5" s="638"/>
      <c r="H5" s="636" t="s">
        <v>3</v>
      </c>
      <c r="I5" s="637"/>
      <c r="J5" s="636" t="s">
        <v>1962</v>
      </c>
      <c r="K5" s="637"/>
      <c r="L5" s="637"/>
      <c r="M5" s="638"/>
    </row>
    <row r="6" spans="1:13" ht="34.5" customHeight="1" thickTop="1" thickBot="1" x14ac:dyDescent="0.3">
      <c r="A6" s="661"/>
      <c r="B6" s="661"/>
      <c r="C6" s="661"/>
      <c r="D6" s="445" t="s">
        <v>4</v>
      </c>
      <c r="E6" s="445" t="s">
        <v>5</v>
      </c>
      <c r="F6" s="445" t="s">
        <v>6</v>
      </c>
      <c r="G6" s="445" t="s">
        <v>7</v>
      </c>
      <c r="H6" s="445" t="s">
        <v>2</v>
      </c>
      <c r="I6" s="445" t="s">
        <v>3</v>
      </c>
      <c r="J6" s="445" t="s">
        <v>8</v>
      </c>
      <c r="K6" s="445" t="s">
        <v>9</v>
      </c>
      <c r="L6" s="445" t="s">
        <v>1963</v>
      </c>
      <c r="M6" s="445" t="s">
        <v>1964</v>
      </c>
    </row>
    <row r="7" spans="1:13" ht="51" customHeight="1" thickTop="1" thickBot="1" x14ac:dyDescent="0.3">
      <c r="A7" s="449" t="s">
        <v>1725</v>
      </c>
      <c r="B7" s="449" t="s">
        <v>1724</v>
      </c>
      <c r="C7" s="484" t="s">
        <v>53</v>
      </c>
      <c r="D7" s="448">
        <v>2</v>
      </c>
      <c r="E7" s="446">
        <v>30</v>
      </c>
      <c r="F7" s="446">
        <v>3</v>
      </c>
      <c r="G7" s="448">
        <v>980</v>
      </c>
      <c r="H7" s="456">
        <v>40365203</v>
      </c>
      <c r="I7" s="450">
        <v>40365203</v>
      </c>
      <c r="J7" s="254" t="s">
        <v>1726</v>
      </c>
      <c r="K7" s="448" t="s">
        <v>16</v>
      </c>
      <c r="L7" s="446">
        <v>2</v>
      </c>
      <c r="M7" s="446">
        <v>2</v>
      </c>
    </row>
    <row r="8" spans="1:13" ht="30" customHeight="1" thickTop="1" thickBot="1" x14ac:dyDescent="0.3">
      <c r="A8" s="449" t="s">
        <v>1725</v>
      </c>
      <c r="B8" s="449" t="s">
        <v>1724</v>
      </c>
      <c r="C8" s="449" t="s">
        <v>18</v>
      </c>
      <c r="D8" s="448">
        <v>2</v>
      </c>
      <c r="E8" s="446">
        <v>30</v>
      </c>
      <c r="F8" s="446">
        <v>3</v>
      </c>
      <c r="G8" s="448">
        <v>848</v>
      </c>
      <c r="H8" s="456">
        <v>1213663534</v>
      </c>
      <c r="I8" s="450">
        <v>270000000</v>
      </c>
      <c r="J8" s="254" t="s">
        <v>1727</v>
      </c>
      <c r="K8" s="448" t="s">
        <v>114</v>
      </c>
      <c r="L8" s="446">
        <v>611</v>
      </c>
      <c r="M8" s="446">
        <v>198</v>
      </c>
    </row>
    <row r="9" spans="1:13" ht="32.25" customHeight="1" thickTop="1" thickBot="1" x14ac:dyDescent="0.3">
      <c r="A9" s="449" t="s">
        <v>1725</v>
      </c>
      <c r="B9" s="449" t="s">
        <v>1724</v>
      </c>
      <c r="C9" s="654" t="s">
        <v>53</v>
      </c>
      <c r="D9" s="448">
        <v>2</v>
      </c>
      <c r="E9" s="446">
        <v>30</v>
      </c>
      <c r="F9" s="446">
        <v>3</v>
      </c>
      <c r="G9" s="448">
        <v>520</v>
      </c>
      <c r="H9" s="456">
        <f>130000000</f>
        <v>130000000</v>
      </c>
      <c r="I9" s="450">
        <f>73967000+49533000+6500000</f>
        <v>130000000</v>
      </c>
      <c r="J9" s="254" t="s">
        <v>1728</v>
      </c>
      <c r="K9" s="448" t="s">
        <v>55</v>
      </c>
      <c r="L9" s="446">
        <v>1</v>
      </c>
      <c r="M9" s="446">
        <v>1</v>
      </c>
    </row>
    <row r="10" spans="1:13" ht="32.25" customHeight="1" thickTop="1" thickBot="1" x14ac:dyDescent="0.3">
      <c r="A10" s="449" t="s">
        <v>1725</v>
      </c>
      <c r="B10" s="449" t="s">
        <v>1724</v>
      </c>
      <c r="C10" s="654"/>
      <c r="D10" s="448">
        <v>2</v>
      </c>
      <c r="E10" s="446">
        <v>30</v>
      </c>
      <c r="F10" s="446">
        <v>3</v>
      </c>
      <c r="G10" s="448">
        <v>520</v>
      </c>
      <c r="H10" s="456">
        <v>99740320</v>
      </c>
      <c r="I10" s="450">
        <f>52161954+47578366</f>
        <v>99740320</v>
      </c>
      <c r="J10" s="254" t="s">
        <v>1729</v>
      </c>
      <c r="K10" s="448" t="s">
        <v>2124</v>
      </c>
      <c r="L10" s="446">
        <v>1</v>
      </c>
      <c r="M10" s="446">
        <v>1</v>
      </c>
    </row>
    <row r="11" spans="1:13" ht="32.25" customHeight="1" thickTop="1" thickBot="1" x14ac:dyDescent="0.3">
      <c r="A11" s="449" t="s">
        <v>1725</v>
      </c>
      <c r="B11" s="449" t="s">
        <v>1724</v>
      </c>
      <c r="C11" s="654"/>
      <c r="D11" s="448">
        <v>2</v>
      </c>
      <c r="E11" s="446">
        <v>30</v>
      </c>
      <c r="F11" s="446">
        <v>3</v>
      </c>
      <c r="G11" s="448">
        <v>520</v>
      </c>
      <c r="H11" s="456">
        <v>502105521</v>
      </c>
      <c r="I11" s="450">
        <f>16787070+6923030+19836380+36338450+8067020+175058357+23018444</f>
        <v>286028751</v>
      </c>
      <c r="J11" s="254" t="s">
        <v>1730</v>
      </c>
      <c r="K11" s="448" t="s">
        <v>11</v>
      </c>
      <c r="L11" s="446">
        <v>6250</v>
      </c>
      <c r="M11" s="446">
        <v>5637</v>
      </c>
    </row>
    <row r="12" spans="1:13" ht="39" customHeight="1" thickTop="1" thickBot="1" x14ac:dyDescent="0.3">
      <c r="A12" s="449" t="s">
        <v>1725</v>
      </c>
      <c r="B12" s="449" t="s">
        <v>1724</v>
      </c>
      <c r="C12" s="654"/>
      <c r="D12" s="448">
        <v>2</v>
      </c>
      <c r="E12" s="446">
        <v>30</v>
      </c>
      <c r="F12" s="446">
        <v>3</v>
      </c>
      <c r="G12" s="448">
        <v>520</v>
      </c>
      <c r="H12" s="456">
        <v>1805381185</v>
      </c>
      <c r="I12" s="450">
        <f>120060000+115800000+159840460+73411468+91059540+186718532+39310000+422589000+305458630+16076770</f>
        <v>1530324400</v>
      </c>
      <c r="J12" s="254" t="s">
        <v>1731</v>
      </c>
      <c r="K12" s="448" t="s">
        <v>81</v>
      </c>
      <c r="L12" s="446">
        <v>12</v>
      </c>
      <c r="M12" s="446">
        <v>12</v>
      </c>
    </row>
    <row r="13" spans="1:13" ht="37.5" customHeight="1" thickTop="1" thickBot="1" x14ac:dyDescent="0.3">
      <c r="A13" s="449" t="s">
        <v>1725</v>
      </c>
      <c r="B13" s="449" t="s">
        <v>1724</v>
      </c>
      <c r="C13" s="449" t="s">
        <v>105</v>
      </c>
      <c r="D13" s="448">
        <v>2</v>
      </c>
      <c r="E13" s="446">
        <v>30</v>
      </c>
      <c r="F13" s="446">
        <v>3</v>
      </c>
      <c r="G13" s="448">
        <v>540</v>
      </c>
      <c r="H13" s="456">
        <v>254289352</v>
      </c>
      <c r="I13" s="450">
        <v>0</v>
      </c>
      <c r="J13" s="254" t="s">
        <v>1732</v>
      </c>
      <c r="K13" s="459" t="s">
        <v>383</v>
      </c>
      <c r="L13" s="446">
        <v>57</v>
      </c>
      <c r="M13" s="446">
        <v>0</v>
      </c>
    </row>
    <row r="14" spans="1:13" ht="15.75" customHeight="1" thickTop="1" thickBot="1" x14ac:dyDescent="0.3"/>
    <row r="15" spans="1:13" ht="30" customHeight="1" thickTop="1" thickBot="1" x14ac:dyDescent="0.3">
      <c r="A15" s="639" t="s">
        <v>0</v>
      </c>
      <c r="B15" s="639" t="s">
        <v>1</v>
      </c>
      <c r="C15" s="639" t="s">
        <v>2569</v>
      </c>
      <c r="D15" s="636" t="s">
        <v>1961</v>
      </c>
      <c r="E15" s="637"/>
      <c r="F15" s="637"/>
      <c r="G15" s="638"/>
      <c r="H15" s="636" t="s">
        <v>3</v>
      </c>
      <c r="I15" s="637"/>
      <c r="J15" s="636" t="s">
        <v>1962</v>
      </c>
      <c r="K15" s="637"/>
      <c r="L15" s="637"/>
      <c r="M15" s="638"/>
    </row>
    <row r="16" spans="1:13" ht="34.5" customHeight="1" thickTop="1" thickBot="1" x14ac:dyDescent="0.3">
      <c r="A16" s="661"/>
      <c r="B16" s="661"/>
      <c r="C16" s="661"/>
      <c r="D16" s="445" t="s">
        <v>4</v>
      </c>
      <c r="E16" s="445" t="s">
        <v>5</v>
      </c>
      <c r="F16" s="445" t="s">
        <v>6</v>
      </c>
      <c r="G16" s="445" t="s">
        <v>7</v>
      </c>
      <c r="H16" s="445" t="s">
        <v>2</v>
      </c>
      <c r="I16" s="445" t="s">
        <v>3</v>
      </c>
      <c r="J16" s="445" t="s">
        <v>8</v>
      </c>
      <c r="K16" s="445" t="s">
        <v>9</v>
      </c>
      <c r="L16" s="445" t="s">
        <v>1963</v>
      </c>
      <c r="M16" s="445" t="s">
        <v>1964</v>
      </c>
    </row>
    <row r="17" spans="1:13" ht="57.75" thickTop="1" thickBot="1" x14ac:dyDescent="0.3">
      <c r="A17" s="453" t="s">
        <v>1733</v>
      </c>
      <c r="B17" s="449" t="s">
        <v>1724</v>
      </c>
      <c r="C17" s="453" t="s">
        <v>18</v>
      </c>
      <c r="D17" s="454">
        <v>3</v>
      </c>
      <c r="E17" s="454">
        <v>30</v>
      </c>
      <c r="F17" s="454">
        <v>3</v>
      </c>
      <c r="G17" s="454">
        <v>848</v>
      </c>
      <c r="H17" s="456">
        <v>6695327511</v>
      </c>
      <c r="I17" s="450">
        <v>1098029040</v>
      </c>
      <c r="J17" s="334" t="s">
        <v>1734</v>
      </c>
      <c r="K17" s="454" t="s">
        <v>20</v>
      </c>
      <c r="L17" s="306">
        <v>1550</v>
      </c>
      <c r="M17" s="306">
        <v>1550</v>
      </c>
    </row>
    <row r="18" spans="1:13" ht="40.5" customHeight="1" thickTop="1" thickBot="1" x14ac:dyDescent="0.3">
      <c r="A18" s="453" t="s">
        <v>1733</v>
      </c>
      <c r="B18" s="449" t="s">
        <v>1724</v>
      </c>
      <c r="C18" s="688" t="s">
        <v>53</v>
      </c>
      <c r="D18" s="454">
        <v>3</v>
      </c>
      <c r="E18" s="454">
        <v>30</v>
      </c>
      <c r="F18" s="454">
        <v>3</v>
      </c>
      <c r="G18" s="454">
        <v>520</v>
      </c>
      <c r="H18" s="456">
        <f>4482445002-700000000</f>
        <v>3782445002</v>
      </c>
      <c r="I18" s="450">
        <f>172512808+89240970</f>
        <v>261753778</v>
      </c>
      <c r="J18" s="334" t="s">
        <v>1735</v>
      </c>
      <c r="K18" s="454" t="s">
        <v>55</v>
      </c>
      <c r="L18" s="306">
        <v>55</v>
      </c>
      <c r="M18" s="306">
        <v>10</v>
      </c>
    </row>
    <row r="19" spans="1:13" ht="40.5" customHeight="1" thickTop="1" thickBot="1" x14ac:dyDescent="0.3">
      <c r="A19" s="453" t="s">
        <v>1733</v>
      </c>
      <c r="B19" s="449" t="s">
        <v>1724</v>
      </c>
      <c r="C19" s="688"/>
      <c r="D19" s="454">
        <v>3</v>
      </c>
      <c r="E19" s="454">
        <v>30</v>
      </c>
      <c r="F19" s="454">
        <v>3</v>
      </c>
      <c r="G19" s="454">
        <v>520</v>
      </c>
      <c r="H19" s="456">
        <v>700000000</v>
      </c>
      <c r="I19" s="450">
        <v>0</v>
      </c>
      <c r="J19" s="334" t="s">
        <v>1736</v>
      </c>
      <c r="K19" s="454" t="s">
        <v>25</v>
      </c>
      <c r="L19" s="306">
        <v>10</v>
      </c>
      <c r="M19" s="306">
        <v>0</v>
      </c>
    </row>
    <row r="20" spans="1:13" ht="52.5" customHeight="1" thickTop="1" thickBot="1" x14ac:dyDescent="0.3">
      <c r="A20" s="453" t="s">
        <v>1733</v>
      </c>
      <c r="B20" s="449" t="s">
        <v>1724</v>
      </c>
      <c r="C20" s="688" t="s">
        <v>105</v>
      </c>
      <c r="D20" s="454">
        <v>3</v>
      </c>
      <c r="E20" s="454">
        <v>30</v>
      </c>
      <c r="F20" s="454">
        <v>3</v>
      </c>
      <c r="G20" s="454">
        <v>530</v>
      </c>
      <c r="H20" s="456">
        <v>325830956</v>
      </c>
      <c r="I20" s="450">
        <v>0</v>
      </c>
      <c r="J20" s="334" t="s">
        <v>1737</v>
      </c>
      <c r="K20" s="454" t="s">
        <v>17</v>
      </c>
      <c r="L20" s="306">
        <v>50</v>
      </c>
      <c r="M20" s="306">
        <v>0</v>
      </c>
    </row>
    <row r="21" spans="1:13" ht="52.5" customHeight="1" thickTop="1" thickBot="1" x14ac:dyDescent="0.3">
      <c r="A21" s="453" t="s">
        <v>1733</v>
      </c>
      <c r="B21" s="449" t="s">
        <v>1724</v>
      </c>
      <c r="C21" s="688"/>
      <c r="D21" s="454">
        <v>3</v>
      </c>
      <c r="E21" s="454">
        <v>30</v>
      </c>
      <c r="F21" s="454">
        <v>3</v>
      </c>
      <c r="G21" s="454">
        <v>540</v>
      </c>
      <c r="H21" s="456">
        <v>830000000</v>
      </c>
      <c r="I21" s="450">
        <v>680050000</v>
      </c>
      <c r="J21" s="334" t="s">
        <v>1738</v>
      </c>
      <c r="K21" s="485" t="s">
        <v>2082</v>
      </c>
      <c r="L21" s="306">
        <v>3350</v>
      </c>
      <c r="M21" s="306">
        <v>3350</v>
      </c>
    </row>
    <row r="22" spans="1:13" ht="16.5" thickTop="1" thickBot="1" x14ac:dyDescent="0.3"/>
    <row r="23" spans="1:13" ht="30" customHeight="1" thickTop="1" thickBot="1" x14ac:dyDescent="0.3">
      <c r="A23" s="639" t="s">
        <v>0</v>
      </c>
      <c r="B23" s="639" t="s">
        <v>1</v>
      </c>
      <c r="C23" s="639" t="s">
        <v>2569</v>
      </c>
      <c r="D23" s="636" t="s">
        <v>1961</v>
      </c>
      <c r="E23" s="637"/>
      <c r="F23" s="637"/>
      <c r="G23" s="638"/>
      <c r="H23" s="636" t="s">
        <v>3</v>
      </c>
      <c r="I23" s="637"/>
      <c r="J23" s="636" t="s">
        <v>1962</v>
      </c>
      <c r="K23" s="637"/>
      <c r="L23" s="637"/>
      <c r="M23" s="638"/>
    </row>
    <row r="24" spans="1:13" ht="34.5" customHeight="1" thickTop="1" thickBot="1" x14ac:dyDescent="0.3">
      <c r="A24" s="661"/>
      <c r="B24" s="661"/>
      <c r="C24" s="661"/>
      <c r="D24" s="445" t="s">
        <v>4</v>
      </c>
      <c r="E24" s="445" t="s">
        <v>5</v>
      </c>
      <c r="F24" s="445" t="s">
        <v>6</v>
      </c>
      <c r="G24" s="445" t="s">
        <v>7</v>
      </c>
      <c r="H24" s="445" t="s">
        <v>2</v>
      </c>
      <c r="I24" s="445" t="s">
        <v>3</v>
      </c>
      <c r="J24" s="445" t="s">
        <v>8</v>
      </c>
      <c r="K24" s="445" t="s">
        <v>9</v>
      </c>
      <c r="L24" s="445" t="s">
        <v>1963</v>
      </c>
      <c r="M24" s="445" t="s">
        <v>1964</v>
      </c>
    </row>
    <row r="25" spans="1:13" ht="39.75" customHeight="1" thickTop="1" thickBot="1" x14ac:dyDescent="0.3">
      <c r="A25" s="453" t="s">
        <v>1739</v>
      </c>
      <c r="B25" s="449" t="s">
        <v>1724</v>
      </c>
      <c r="C25" s="649" t="s">
        <v>18</v>
      </c>
      <c r="D25" s="454">
        <v>3</v>
      </c>
      <c r="E25" s="454">
        <v>30</v>
      </c>
      <c r="F25" s="454">
        <v>3</v>
      </c>
      <c r="G25" s="454">
        <v>848</v>
      </c>
      <c r="H25" s="456">
        <v>1870361202</v>
      </c>
      <c r="I25" s="450">
        <v>1399361803</v>
      </c>
      <c r="J25" s="334" t="s">
        <v>1740</v>
      </c>
      <c r="K25" s="454" t="s">
        <v>20</v>
      </c>
      <c r="L25" s="306">
        <v>2500</v>
      </c>
      <c r="M25" s="306">
        <v>1875</v>
      </c>
    </row>
    <row r="26" spans="1:13" ht="39.75" customHeight="1" thickTop="1" thickBot="1" x14ac:dyDescent="0.3">
      <c r="A26" s="453" t="s">
        <v>1739</v>
      </c>
      <c r="B26" s="449" t="s">
        <v>1724</v>
      </c>
      <c r="C26" s="650"/>
      <c r="D26" s="454">
        <v>3</v>
      </c>
      <c r="E26" s="454">
        <v>30</v>
      </c>
      <c r="F26" s="454">
        <v>3</v>
      </c>
      <c r="G26" s="454">
        <v>960</v>
      </c>
      <c r="H26" s="456">
        <v>79638798</v>
      </c>
      <c r="I26" s="450">
        <v>79638798</v>
      </c>
      <c r="J26" s="334" t="s">
        <v>1741</v>
      </c>
      <c r="K26" s="454" t="s">
        <v>16</v>
      </c>
      <c r="L26" s="306">
        <v>1</v>
      </c>
      <c r="M26" s="306">
        <v>1</v>
      </c>
    </row>
    <row r="27" spans="1:13" ht="57.75" thickTop="1" thickBot="1" x14ac:dyDescent="0.3">
      <c r="A27" s="453" t="s">
        <v>1739</v>
      </c>
      <c r="B27" s="449" t="s">
        <v>1724</v>
      </c>
      <c r="C27" s="649" t="s">
        <v>53</v>
      </c>
      <c r="D27" s="454">
        <v>3</v>
      </c>
      <c r="E27" s="454">
        <v>30</v>
      </c>
      <c r="F27" s="454">
        <v>3</v>
      </c>
      <c r="G27" s="454">
        <v>520</v>
      </c>
      <c r="H27" s="456">
        <v>1300000000</v>
      </c>
      <c r="I27" s="450">
        <v>1300000000</v>
      </c>
      <c r="J27" s="334" t="s">
        <v>1742</v>
      </c>
      <c r="K27" s="454" t="s">
        <v>11</v>
      </c>
      <c r="L27" s="306">
        <v>4500</v>
      </c>
      <c r="M27" s="306">
        <v>3555</v>
      </c>
    </row>
    <row r="28" spans="1:13" ht="50.25" customHeight="1" thickTop="1" thickBot="1" x14ac:dyDescent="0.3">
      <c r="A28" s="453" t="s">
        <v>1739</v>
      </c>
      <c r="B28" s="449" t="s">
        <v>1724</v>
      </c>
      <c r="C28" s="650"/>
      <c r="D28" s="454">
        <v>3</v>
      </c>
      <c r="E28" s="454">
        <v>30</v>
      </c>
      <c r="F28" s="454">
        <v>3</v>
      </c>
      <c r="G28" s="454">
        <v>520</v>
      </c>
      <c r="H28" s="456">
        <v>2410000000</v>
      </c>
      <c r="I28" s="450">
        <v>1640639294</v>
      </c>
      <c r="J28" s="334" t="s">
        <v>1743</v>
      </c>
      <c r="K28" s="454" t="s">
        <v>13</v>
      </c>
      <c r="L28" s="306">
        <v>10</v>
      </c>
      <c r="M28" s="306">
        <v>7</v>
      </c>
    </row>
    <row r="29" spans="1:13" ht="50.25" customHeight="1" thickTop="1" thickBot="1" x14ac:dyDescent="0.3">
      <c r="A29" s="453" t="s">
        <v>1739</v>
      </c>
      <c r="B29" s="449" t="s">
        <v>1724</v>
      </c>
      <c r="C29" s="649" t="s">
        <v>105</v>
      </c>
      <c r="D29" s="454">
        <v>3</v>
      </c>
      <c r="E29" s="454">
        <v>30</v>
      </c>
      <c r="F29" s="454">
        <v>3</v>
      </c>
      <c r="G29" s="454">
        <v>540</v>
      </c>
      <c r="H29" s="456">
        <v>138600000</v>
      </c>
      <c r="I29" s="450">
        <v>138600000</v>
      </c>
      <c r="J29" s="334" t="s">
        <v>1744</v>
      </c>
      <c r="K29" s="454" t="s">
        <v>17</v>
      </c>
      <c r="L29" s="306">
        <v>33</v>
      </c>
      <c r="M29" s="306">
        <v>33</v>
      </c>
    </row>
    <row r="30" spans="1:13" ht="52.5" customHeight="1" thickTop="1" thickBot="1" x14ac:dyDescent="0.3">
      <c r="A30" s="453" t="s">
        <v>1739</v>
      </c>
      <c r="B30" s="449" t="s">
        <v>1724</v>
      </c>
      <c r="C30" s="650"/>
      <c r="D30" s="454">
        <v>3</v>
      </c>
      <c r="E30" s="454">
        <v>30</v>
      </c>
      <c r="F30" s="454">
        <v>3</v>
      </c>
      <c r="G30" s="454">
        <v>540</v>
      </c>
      <c r="H30" s="456">
        <v>701400000</v>
      </c>
      <c r="I30" s="450">
        <v>485873000</v>
      </c>
      <c r="J30" s="334" t="s">
        <v>1745</v>
      </c>
      <c r="K30" s="454" t="s">
        <v>17</v>
      </c>
      <c r="L30" s="306">
        <v>4008.6956521739112</v>
      </c>
      <c r="M30" s="306">
        <v>2766</v>
      </c>
    </row>
    <row r="31" spans="1:13" ht="16.5" thickTop="1" thickBot="1" x14ac:dyDescent="0.3"/>
    <row r="32" spans="1:13" ht="30" customHeight="1" thickTop="1" thickBot="1" x14ac:dyDescent="0.3">
      <c r="A32" s="639" t="s">
        <v>0</v>
      </c>
      <c r="B32" s="639" t="s">
        <v>1</v>
      </c>
      <c r="C32" s="639" t="s">
        <v>2569</v>
      </c>
      <c r="D32" s="636" t="s">
        <v>1961</v>
      </c>
      <c r="E32" s="637"/>
      <c r="F32" s="637"/>
      <c r="G32" s="638"/>
      <c r="H32" s="636" t="s">
        <v>3</v>
      </c>
      <c r="I32" s="637"/>
      <c r="J32" s="636" t="s">
        <v>1962</v>
      </c>
      <c r="K32" s="637"/>
      <c r="L32" s="637"/>
      <c r="M32" s="638"/>
    </row>
    <row r="33" spans="1:13" ht="34.5" customHeight="1" thickTop="1" thickBot="1" x14ac:dyDescent="0.3">
      <c r="A33" s="661"/>
      <c r="B33" s="661"/>
      <c r="C33" s="661"/>
      <c r="D33" s="445" t="s">
        <v>4</v>
      </c>
      <c r="E33" s="445" t="s">
        <v>5</v>
      </c>
      <c r="F33" s="445" t="s">
        <v>6</v>
      </c>
      <c r="G33" s="445" t="s">
        <v>7</v>
      </c>
      <c r="H33" s="445" t="s">
        <v>2</v>
      </c>
      <c r="I33" s="445" t="s">
        <v>3</v>
      </c>
      <c r="J33" s="445" t="s">
        <v>8</v>
      </c>
      <c r="K33" s="445" t="s">
        <v>9</v>
      </c>
      <c r="L33" s="445" t="s">
        <v>1963</v>
      </c>
      <c r="M33" s="445" t="s">
        <v>1964</v>
      </c>
    </row>
    <row r="34" spans="1:13" ht="50.25" customHeight="1" thickTop="1" thickBot="1" x14ac:dyDescent="0.3">
      <c r="A34" s="449" t="s">
        <v>1746</v>
      </c>
      <c r="B34" s="449" t="s">
        <v>1724</v>
      </c>
      <c r="C34" s="651" t="s">
        <v>18</v>
      </c>
      <c r="D34" s="448">
        <v>3</v>
      </c>
      <c r="E34" s="448">
        <v>30</v>
      </c>
      <c r="F34" s="448">
        <v>3</v>
      </c>
      <c r="G34" s="448">
        <v>848</v>
      </c>
      <c r="H34" s="456">
        <v>373188528</v>
      </c>
      <c r="I34" s="450">
        <v>212303150</v>
      </c>
      <c r="J34" s="334" t="s">
        <v>1747</v>
      </c>
      <c r="K34" s="448" t="s">
        <v>20</v>
      </c>
      <c r="L34" s="446">
        <v>418</v>
      </c>
      <c r="M34" s="446">
        <v>240</v>
      </c>
    </row>
    <row r="35" spans="1:13" ht="32.25" customHeight="1" thickTop="1" thickBot="1" x14ac:dyDescent="0.3">
      <c r="A35" s="449" t="s">
        <v>1746</v>
      </c>
      <c r="B35" s="449" t="s">
        <v>1724</v>
      </c>
      <c r="C35" s="653"/>
      <c r="D35" s="448">
        <v>3</v>
      </c>
      <c r="E35" s="448">
        <v>30</v>
      </c>
      <c r="F35" s="448">
        <v>3</v>
      </c>
      <c r="G35" s="448">
        <v>960</v>
      </c>
      <c r="H35" s="456">
        <v>36406000</v>
      </c>
      <c r="I35" s="450">
        <v>36406000</v>
      </c>
      <c r="J35" s="334" t="s">
        <v>1748</v>
      </c>
      <c r="K35" s="448" t="s">
        <v>16</v>
      </c>
      <c r="L35" s="446">
        <v>1</v>
      </c>
      <c r="M35" s="446">
        <v>1</v>
      </c>
    </row>
    <row r="36" spans="1:13" ht="47.25" customHeight="1" thickTop="1" thickBot="1" x14ac:dyDescent="0.3">
      <c r="A36" s="449" t="s">
        <v>1746</v>
      </c>
      <c r="B36" s="449" t="s">
        <v>1724</v>
      </c>
      <c r="C36" s="654" t="s">
        <v>53</v>
      </c>
      <c r="D36" s="448">
        <v>3</v>
      </c>
      <c r="E36" s="448">
        <v>30</v>
      </c>
      <c r="F36" s="448">
        <v>3</v>
      </c>
      <c r="G36" s="448">
        <v>520</v>
      </c>
      <c r="H36" s="456">
        <v>150000000</v>
      </c>
      <c r="I36" s="450">
        <v>0</v>
      </c>
      <c r="J36" s="334" t="s">
        <v>1749</v>
      </c>
      <c r="K36" s="448" t="s">
        <v>25</v>
      </c>
      <c r="L36" s="446">
        <v>3</v>
      </c>
      <c r="M36" s="446">
        <v>0</v>
      </c>
    </row>
    <row r="37" spans="1:13" ht="35.25" thickTop="1" thickBot="1" x14ac:dyDescent="0.3">
      <c r="A37" s="449" t="s">
        <v>1746</v>
      </c>
      <c r="B37" s="449" t="s">
        <v>1724</v>
      </c>
      <c r="C37" s="654"/>
      <c r="D37" s="448">
        <v>3</v>
      </c>
      <c r="E37" s="448">
        <v>30</v>
      </c>
      <c r="F37" s="448">
        <v>3</v>
      </c>
      <c r="G37" s="448">
        <v>520</v>
      </c>
      <c r="H37" s="456">
        <v>0</v>
      </c>
      <c r="I37" s="450">
        <v>0</v>
      </c>
      <c r="J37" s="334" t="s">
        <v>1750</v>
      </c>
      <c r="K37" s="448" t="s">
        <v>25</v>
      </c>
      <c r="L37" s="446">
        <v>1</v>
      </c>
      <c r="M37" s="446">
        <v>0</v>
      </c>
    </row>
    <row r="38" spans="1:13" ht="50.25" customHeight="1" thickTop="1" thickBot="1" x14ac:dyDescent="0.3">
      <c r="A38" s="449" t="s">
        <v>1746</v>
      </c>
      <c r="B38" s="449" t="s">
        <v>1724</v>
      </c>
      <c r="C38" s="654"/>
      <c r="D38" s="448">
        <v>3</v>
      </c>
      <c r="E38" s="448">
        <v>30</v>
      </c>
      <c r="F38" s="448">
        <v>3</v>
      </c>
      <c r="G38" s="448">
        <v>520</v>
      </c>
      <c r="H38" s="456">
        <f>200000000+95000000+140000000+50000000+20000000</f>
        <v>505000000</v>
      </c>
      <c r="I38" s="450">
        <f>125821923+68609698+109284350+197826343</f>
        <v>501542314</v>
      </c>
      <c r="J38" s="334" t="s">
        <v>1751</v>
      </c>
      <c r="K38" s="448" t="s">
        <v>55</v>
      </c>
      <c r="L38" s="446">
        <v>8</v>
      </c>
      <c r="M38" s="446">
        <v>8</v>
      </c>
    </row>
    <row r="39" spans="1:13" ht="30.75" customHeight="1" thickTop="1" thickBot="1" x14ac:dyDescent="0.3">
      <c r="A39" s="449" t="s">
        <v>1746</v>
      </c>
      <c r="B39" s="449" t="s">
        <v>1724</v>
      </c>
      <c r="C39" s="654"/>
      <c r="D39" s="448">
        <v>3</v>
      </c>
      <c r="E39" s="448">
        <v>30</v>
      </c>
      <c r="F39" s="448">
        <v>3</v>
      </c>
      <c r="G39" s="448">
        <v>520</v>
      </c>
      <c r="H39" s="456">
        <f>39720566-5000000-20000000</f>
        <v>14720566</v>
      </c>
      <c r="I39" s="450">
        <v>0</v>
      </c>
      <c r="J39" s="334" t="s">
        <v>1752</v>
      </c>
      <c r="K39" s="448" t="s">
        <v>13</v>
      </c>
      <c r="L39" s="446">
        <v>1</v>
      </c>
      <c r="M39" s="446">
        <v>0</v>
      </c>
    </row>
    <row r="40" spans="1:13" ht="30.75" customHeight="1" thickTop="1" thickBot="1" x14ac:dyDescent="0.3">
      <c r="A40" s="449" t="s">
        <v>1746</v>
      </c>
      <c r="B40" s="449" t="s">
        <v>1724</v>
      </c>
      <c r="C40" s="654"/>
      <c r="D40" s="448">
        <v>3</v>
      </c>
      <c r="E40" s="448">
        <v>30</v>
      </c>
      <c r="F40" s="448">
        <v>3</v>
      </c>
      <c r="G40" s="448">
        <v>520</v>
      </c>
      <c r="H40" s="456">
        <v>105000000</v>
      </c>
      <c r="I40" s="450">
        <v>104611500</v>
      </c>
      <c r="J40" s="334" t="s">
        <v>1753</v>
      </c>
      <c r="K40" s="448" t="s">
        <v>11</v>
      </c>
      <c r="L40" s="446">
        <v>2700</v>
      </c>
      <c r="M40" s="446">
        <v>2700</v>
      </c>
    </row>
    <row r="41" spans="1:13" ht="30.75" customHeight="1" thickTop="1" thickBot="1" x14ac:dyDescent="0.3">
      <c r="A41" s="449" t="s">
        <v>1746</v>
      </c>
      <c r="B41" s="449" t="s">
        <v>1724</v>
      </c>
      <c r="C41" s="654"/>
      <c r="D41" s="448">
        <v>3</v>
      </c>
      <c r="E41" s="448">
        <v>30</v>
      </c>
      <c r="F41" s="448">
        <v>3</v>
      </c>
      <c r="G41" s="448">
        <v>520</v>
      </c>
      <c r="H41" s="456">
        <v>0</v>
      </c>
      <c r="I41" s="450">
        <v>0</v>
      </c>
      <c r="J41" s="334" t="s">
        <v>1754</v>
      </c>
      <c r="K41" s="485" t="s">
        <v>13</v>
      </c>
      <c r="L41" s="446">
        <v>1</v>
      </c>
      <c r="M41" s="446">
        <v>0</v>
      </c>
    </row>
    <row r="42" spans="1:13" ht="30.75" customHeight="1" thickTop="1" thickBot="1" x14ac:dyDescent="0.3">
      <c r="A42" s="449" t="s">
        <v>1746</v>
      </c>
      <c r="B42" s="449" t="s">
        <v>1724</v>
      </c>
      <c r="C42" s="654" t="s">
        <v>42</v>
      </c>
      <c r="D42" s="448">
        <v>2</v>
      </c>
      <c r="E42" s="448">
        <v>30</v>
      </c>
      <c r="F42" s="448">
        <v>3</v>
      </c>
      <c r="G42" s="448">
        <v>530</v>
      </c>
      <c r="H42" s="456">
        <v>16500000</v>
      </c>
      <c r="I42" s="450">
        <v>0</v>
      </c>
      <c r="J42" s="334" t="s">
        <v>1755</v>
      </c>
      <c r="K42" s="448" t="s">
        <v>44</v>
      </c>
      <c r="L42" s="446">
        <v>50</v>
      </c>
      <c r="M42" s="446">
        <v>0</v>
      </c>
    </row>
    <row r="43" spans="1:13" ht="30.75" customHeight="1" thickTop="1" thickBot="1" x14ac:dyDescent="0.3">
      <c r="A43" s="449" t="s">
        <v>1746</v>
      </c>
      <c r="B43" s="449" t="s">
        <v>1724</v>
      </c>
      <c r="C43" s="654"/>
      <c r="D43" s="448">
        <v>2</v>
      </c>
      <c r="E43" s="448">
        <v>30</v>
      </c>
      <c r="F43" s="448">
        <v>3</v>
      </c>
      <c r="G43" s="448">
        <v>540</v>
      </c>
      <c r="H43" s="456">
        <v>47500000</v>
      </c>
      <c r="I43" s="450">
        <v>0</v>
      </c>
      <c r="J43" s="334" t="s">
        <v>1756</v>
      </c>
      <c r="K43" s="448" t="s">
        <v>46</v>
      </c>
      <c r="L43" s="446">
        <v>250</v>
      </c>
      <c r="M43" s="446">
        <v>0</v>
      </c>
    </row>
    <row r="44" spans="1:13" ht="60.75" customHeight="1" thickTop="1" thickBot="1" x14ac:dyDescent="0.3">
      <c r="A44" s="449" t="s">
        <v>1746</v>
      </c>
      <c r="B44" s="449" t="s">
        <v>1724</v>
      </c>
      <c r="C44" s="651" t="s">
        <v>53</v>
      </c>
      <c r="D44" s="448">
        <v>2</v>
      </c>
      <c r="E44" s="448">
        <v>30</v>
      </c>
      <c r="F44" s="448">
        <v>3</v>
      </c>
      <c r="G44" s="448">
        <v>580</v>
      </c>
      <c r="H44" s="456">
        <v>37000000</v>
      </c>
      <c r="I44" s="450">
        <v>0</v>
      </c>
      <c r="J44" s="334" t="s">
        <v>2125</v>
      </c>
      <c r="K44" s="448" t="s">
        <v>13</v>
      </c>
      <c r="L44" s="446">
        <v>4</v>
      </c>
      <c r="M44" s="446">
        <v>0</v>
      </c>
    </row>
    <row r="45" spans="1:13" ht="41.25" customHeight="1" thickTop="1" thickBot="1" x14ac:dyDescent="0.3">
      <c r="A45" s="449" t="s">
        <v>1746</v>
      </c>
      <c r="B45" s="449" t="s">
        <v>1724</v>
      </c>
      <c r="C45" s="653"/>
      <c r="D45" s="448">
        <v>2</v>
      </c>
      <c r="E45" s="448">
        <v>30</v>
      </c>
      <c r="F45" s="448">
        <v>3</v>
      </c>
      <c r="G45" s="448">
        <v>980</v>
      </c>
      <c r="H45" s="456">
        <v>80000000</v>
      </c>
      <c r="I45" s="450">
        <v>68904068</v>
      </c>
      <c r="J45" s="334" t="s">
        <v>1757</v>
      </c>
      <c r="K45" s="448" t="s">
        <v>16</v>
      </c>
      <c r="L45" s="446">
        <v>2</v>
      </c>
      <c r="M45" s="446">
        <v>2</v>
      </c>
    </row>
    <row r="46" spans="1:13" s="54" customFormat="1" ht="16.5" thickTop="1" thickBot="1" x14ac:dyDescent="0.3">
      <c r="A46" s="158"/>
      <c r="B46" s="158"/>
      <c r="C46" s="158"/>
      <c r="D46" s="165"/>
      <c r="E46" s="165"/>
      <c r="F46" s="165"/>
      <c r="G46" s="165"/>
      <c r="H46" s="486"/>
      <c r="I46" s="486"/>
      <c r="J46" s="487"/>
      <c r="K46" s="165"/>
      <c r="L46" s="164"/>
      <c r="M46" s="164"/>
    </row>
    <row r="47" spans="1:13" ht="28.5" customHeight="1" thickTop="1" thickBot="1" x14ac:dyDescent="0.3">
      <c r="A47" s="639" t="s">
        <v>0</v>
      </c>
      <c r="B47" s="639" t="s">
        <v>1</v>
      </c>
      <c r="C47" s="639" t="s">
        <v>2569</v>
      </c>
      <c r="D47" s="636" t="s">
        <v>1961</v>
      </c>
      <c r="E47" s="637"/>
      <c r="F47" s="637"/>
      <c r="G47" s="638"/>
      <c r="H47" s="636" t="s">
        <v>3</v>
      </c>
      <c r="I47" s="637"/>
      <c r="J47" s="636" t="s">
        <v>1962</v>
      </c>
      <c r="K47" s="637"/>
      <c r="L47" s="637"/>
      <c r="M47" s="638"/>
    </row>
    <row r="48" spans="1:13" ht="34.5" customHeight="1" thickTop="1" thickBot="1" x14ac:dyDescent="0.3">
      <c r="A48" s="661"/>
      <c r="B48" s="661"/>
      <c r="C48" s="661"/>
      <c r="D48" s="445" t="s">
        <v>4</v>
      </c>
      <c r="E48" s="445" t="s">
        <v>5</v>
      </c>
      <c r="F48" s="445" t="s">
        <v>6</v>
      </c>
      <c r="G48" s="445" t="s">
        <v>7</v>
      </c>
      <c r="H48" s="445" t="s">
        <v>2</v>
      </c>
      <c r="I48" s="445" t="s">
        <v>3</v>
      </c>
      <c r="J48" s="445" t="s">
        <v>8</v>
      </c>
      <c r="K48" s="445" t="s">
        <v>9</v>
      </c>
      <c r="L48" s="445" t="s">
        <v>1963</v>
      </c>
      <c r="M48" s="445" t="s">
        <v>1964</v>
      </c>
    </row>
    <row r="49" spans="1:2183" s="13" customFormat="1" ht="54.75" customHeight="1" thickTop="1" thickBot="1" x14ac:dyDescent="0.3">
      <c r="A49" s="449" t="s">
        <v>1758</v>
      </c>
      <c r="B49" s="449" t="s">
        <v>1724</v>
      </c>
      <c r="C49" s="449" t="s">
        <v>18</v>
      </c>
      <c r="D49" s="490">
        <v>3</v>
      </c>
      <c r="E49" s="490">
        <v>30</v>
      </c>
      <c r="F49" s="490">
        <v>3</v>
      </c>
      <c r="G49" s="490">
        <v>848</v>
      </c>
      <c r="H49" s="456">
        <v>1243550723</v>
      </c>
      <c r="I49" s="450">
        <v>340091695</v>
      </c>
      <c r="J49" s="334" t="s">
        <v>1759</v>
      </c>
      <c r="K49" s="491" t="s">
        <v>20</v>
      </c>
      <c r="L49" s="491">
        <v>1305</v>
      </c>
      <c r="M49" s="491">
        <v>382</v>
      </c>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c r="GG49" s="54"/>
      <c r="GH49" s="54"/>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4"/>
      <c r="IB49" s="54"/>
      <c r="IC49" s="54"/>
      <c r="ID49" s="54"/>
      <c r="IE49" s="54"/>
      <c r="IF49" s="54"/>
      <c r="IG49" s="54"/>
      <c r="IH49" s="54"/>
      <c r="II49" s="54"/>
      <c r="IJ49" s="54"/>
      <c r="IK49" s="54"/>
      <c r="IL49" s="54"/>
      <c r="IM49" s="54"/>
      <c r="IN49" s="54"/>
      <c r="IO49" s="54"/>
      <c r="IP49" s="54"/>
      <c r="IQ49" s="54"/>
      <c r="IR49" s="54"/>
      <c r="IS49" s="54"/>
      <c r="IT49" s="54"/>
      <c r="IU49" s="54"/>
      <c r="IV49" s="54"/>
      <c r="IW49" s="54"/>
      <c r="IX49" s="54"/>
      <c r="IY49" s="54"/>
      <c r="IZ49" s="54"/>
      <c r="JA49" s="54"/>
      <c r="JB49" s="54"/>
      <c r="JC49" s="54"/>
      <c r="JD49" s="54"/>
      <c r="JE49" s="54"/>
      <c r="JF49" s="54"/>
      <c r="JG49" s="54"/>
      <c r="JH49" s="54"/>
      <c r="JI49" s="54"/>
      <c r="JJ49" s="54"/>
      <c r="JK49" s="54"/>
      <c r="JL49" s="54"/>
      <c r="JM49" s="54"/>
      <c r="JN49" s="54"/>
      <c r="JO49" s="54"/>
      <c r="JP49" s="54"/>
      <c r="JQ49" s="54"/>
      <c r="JR49" s="54"/>
      <c r="JS49" s="54"/>
      <c r="JT49" s="54"/>
      <c r="JU49" s="54"/>
      <c r="JV49" s="54"/>
      <c r="JW49" s="54"/>
      <c r="JX49" s="54"/>
      <c r="JY49" s="54"/>
      <c r="JZ49" s="54"/>
      <c r="KA49" s="54"/>
      <c r="KB49" s="54"/>
      <c r="KC49" s="54"/>
      <c r="KD49" s="54"/>
      <c r="KE49" s="54"/>
      <c r="KF49" s="54"/>
      <c r="KG49" s="54"/>
      <c r="KH49" s="54"/>
      <c r="KI49" s="54"/>
      <c r="KJ49" s="54"/>
      <c r="KK49" s="54"/>
      <c r="KL49" s="54"/>
      <c r="KM49" s="54"/>
      <c r="KN49" s="54"/>
      <c r="KO49" s="54"/>
      <c r="KP49" s="54"/>
      <c r="KQ49" s="54"/>
      <c r="KR49" s="54"/>
      <c r="KS49" s="54"/>
      <c r="KT49" s="54"/>
      <c r="KU49" s="54"/>
      <c r="KV49" s="54"/>
      <c r="KW49" s="54"/>
      <c r="KX49" s="54"/>
      <c r="KY49" s="54"/>
      <c r="KZ49" s="54"/>
      <c r="LA49" s="54"/>
      <c r="LB49" s="54"/>
      <c r="LC49" s="54"/>
      <c r="LD49" s="54"/>
      <c r="LE49" s="54"/>
      <c r="LF49" s="54"/>
      <c r="LG49" s="54"/>
      <c r="LH49" s="54"/>
      <c r="LI49" s="54"/>
      <c r="LJ49" s="54"/>
      <c r="LK49" s="54"/>
      <c r="LL49" s="54"/>
      <c r="LM49" s="54"/>
      <c r="LN49" s="54"/>
      <c r="LO49" s="54"/>
      <c r="LP49" s="54"/>
      <c r="LQ49" s="54"/>
      <c r="LR49" s="54"/>
      <c r="LS49" s="54"/>
      <c r="LT49" s="54"/>
      <c r="LU49" s="54"/>
      <c r="LV49" s="54"/>
      <c r="LW49" s="54"/>
      <c r="LX49" s="54"/>
      <c r="LY49" s="54"/>
      <c r="LZ49" s="54"/>
      <c r="MA49" s="54"/>
      <c r="MB49" s="54"/>
      <c r="MC49" s="54"/>
      <c r="MD49" s="54"/>
      <c r="ME49" s="54"/>
      <c r="MF49" s="54"/>
      <c r="MG49" s="54"/>
      <c r="MH49" s="54"/>
      <c r="MI49" s="54"/>
      <c r="MJ49" s="54"/>
      <c r="MK49" s="54"/>
      <c r="ML49" s="54"/>
      <c r="MM49" s="54"/>
      <c r="MN49" s="54"/>
      <c r="MO49" s="54"/>
      <c r="MP49" s="54"/>
      <c r="MQ49" s="54"/>
      <c r="MR49" s="54"/>
      <c r="MS49" s="54"/>
      <c r="MT49" s="54"/>
      <c r="MU49" s="54"/>
      <c r="MV49" s="54"/>
      <c r="MW49" s="54"/>
      <c r="MX49" s="54"/>
      <c r="MY49" s="54"/>
      <c r="MZ49" s="54"/>
      <c r="NA49" s="54"/>
      <c r="NB49" s="54"/>
      <c r="NC49" s="54"/>
      <c r="ND49" s="54"/>
      <c r="NE49" s="54"/>
      <c r="NF49" s="54"/>
      <c r="NG49" s="54"/>
      <c r="NH49" s="54"/>
      <c r="NI49" s="54"/>
      <c r="NJ49" s="54"/>
      <c r="NK49" s="54"/>
      <c r="NL49" s="54"/>
      <c r="NM49" s="54"/>
      <c r="NN49" s="54"/>
      <c r="NO49" s="54"/>
      <c r="NP49" s="54"/>
      <c r="NQ49" s="54"/>
      <c r="NR49" s="54"/>
      <c r="NS49" s="54"/>
      <c r="NT49" s="54"/>
      <c r="NU49" s="54"/>
      <c r="NV49" s="54"/>
      <c r="NW49" s="54"/>
      <c r="NX49" s="54"/>
      <c r="NY49" s="54"/>
      <c r="NZ49" s="54"/>
      <c r="OA49" s="54"/>
      <c r="OB49" s="54"/>
      <c r="OC49" s="54"/>
      <c r="OD49" s="54"/>
      <c r="OE49" s="54"/>
      <c r="OF49" s="54"/>
      <c r="OG49" s="54"/>
      <c r="OH49" s="54"/>
      <c r="OI49" s="54"/>
      <c r="OJ49" s="54"/>
      <c r="OK49" s="54"/>
      <c r="OL49" s="54"/>
      <c r="OM49" s="54"/>
      <c r="ON49" s="54"/>
      <c r="OO49" s="54"/>
      <c r="OP49" s="54"/>
      <c r="OQ49" s="54"/>
      <c r="OR49" s="54"/>
      <c r="OS49" s="54"/>
      <c r="OT49" s="54"/>
      <c r="OU49" s="54"/>
      <c r="OV49" s="54"/>
      <c r="OW49" s="54"/>
      <c r="OX49" s="54"/>
      <c r="OY49" s="54"/>
      <c r="OZ49" s="54"/>
      <c r="PA49" s="54"/>
      <c r="PB49" s="54"/>
      <c r="PC49" s="54"/>
      <c r="PD49" s="54"/>
      <c r="PE49" s="54"/>
      <c r="PF49" s="54"/>
      <c r="PG49" s="54"/>
      <c r="PH49" s="54"/>
      <c r="PI49" s="54"/>
      <c r="PJ49" s="54"/>
      <c r="PK49" s="54"/>
      <c r="PL49" s="54"/>
      <c r="PM49" s="54"/>
      <c r="PN49" s="54"/>
      <c r="PO49" s="54"/>
      <c r="PP49" s="54"/>
      <c r="PQ49" s="54"/>
      <c r="PR49" s="54"/>
      <c r="PS49" s="54"/>
      <c r="PT49" s="54"/>
      <c r="PU49" s="54"/>
      <c r="PV49" s="54"/>
      <c r="PW49" s="54"/>
      <c r="PX49" s="54"/>
      <c r="PY49" s="54"/>
      <c r="PZ49" s="54"/>
      <c r="QA49" s="54"/>
      <c r="QB49" s="54"/>
      <c r="QC49" s="54"/>
      <c r="QD49" s="54"/>
      <c r="QE49" s="54"/>
      <c r="QF49" s="54"/>
      <c r="QG49" s="54"/>
      <c r="QH49" s="54"/>
      <c r="QI49" s="54"/>
      <c r="QJ49" s="54"/>
      <c r="QK49" s="54"/>
      <c r="QL49" s="54"/>
      <c r="QM49" s="54"/>
      <c r="QN49" s="54"/>
      <c r="QO49" s="54"/>
      <c r="QP49" s="54"/>
      <c r="QQ49" s="54"/>
      <c r="QR49" s="54"/>
      <c r="QS49" s="54"/>
      <c r="QT49" s="54"/>
      <c r="QU49" s="54"/>
      <c r="QV49" s="54"/>
      <c r="QW49" s="54"/>
      <c r="QX49" s="54"/>
      <c r="QY49" s="54"/>
      <c r="QZ49" s="54"/>
      <c r="RA49" s="54"/>
      <c r="RB49" s="54"/>
      <c r="RC49" s="54"/>
      <c r="RD49" s="54"/>
      <c r="RE49" s="54"/>
      <c r="RF49" s="54"/>
      <c r="RG49" s="54"/>
      <c r="RH49" s="54"/>
      <c r="RI49" s="54"/>
      <c r="RJ49" s="54"/>
      <c r="RK49" s="54"/>
      <c r="RL49" s="54"/>
      <c r="RM49" s="54"/>
      <c r="RN49" s="54"/>
      <c r="RO49" s="54"/>
      <c r="RP49" s="54"/>
      <c r="RQ49" s="54"/>
      <c r="RR49" s="54"/>
      <c r="RS49" s="54"/>
      <c r="RT49" s="54"/>
      <c r="RU49" s="54"/>
      <c r="RV49" s="54"/>
      <c r="RW49" s="54"/>
      <c r="RX49" s="54"/>
      <c r="RY49" s="54"/>
      <c r="RZ49" s="54"/>
      <c r="SA49" s="54"/>
      <c r="SB49" s="54"/>
      <c r="SC49" s="54"/>
      <c r="SD49" s="54"/>
      <c r="SE49" s="54"/>
      <c r="SF49" s="54"/>
      <c r="SG49" s="54"/>
      <c r="SH49" s="54"/>
      <c r="SI49" s="54"/>
      <c r="SJ49" s="54"/>
      <c r="SK49" s="54"/>
      <c r="SL49" s="54"/>
      <c r="SM49" s="54"/>
      <c r="SN49" s="54"/>
      <c r="SO49" s="54"/>
      <c r="SP49" s="54"/>
      <c r="SQ49" s="54"/>
      <c r="SR49" s="54"/>
      <c r="SS49" s="54"/>
      <c r="ST49" s="54"/>
      <c r="SU49" s="54"/>
      <c r="SV49" s="54"/>
      <c r="SW49" s="54"/>
      <c r="SX49" s="54"/>
      <c r="SY49" s="54"/>
      <c r="SZ49" s="54"/>
      <c r="TA49" s="54"/>
      <c r="TB49" s="54"/>
      <c r="TC49" s="54"/>
      <c r="TD49" s="54"/>
      <c r="TE49" s="54"/>
      <c r="TF49" s="54"/>
      <c r="TG49" s="54"/>
      <c r="TH49" s="54"/>
      <c r="TI49" s="54"/>
      <c r="TJ49" s="54"/>
      <c r="TK49" s="54"/>
      <c r="TL49" s="54"/>
      <c r="TM49" s="54"/>
      <c r="TN49" s="54"/>
      <c r="TO49" s="54"/>
      <c r="TP49" s="54"/>
      <c r="TQ49" s="54"/>
      <c r="TR49" s="54"/>
      <c r="TS49" s="54"/>
      <c r="TT49" s="54"/>
      <c r="TU49" s="54"/>
      <c r="TV49" s="54"/>
      <c r="TW49" s="54"/>
      <c r="TX49" s="54"/>
      <c r="TY49" s="54"/>
      <c r="TZ49" s="54"/>
      <c r="UA49" s="54"/>
      <c r="UB49" s="54"/>
      <c r="UC49" s="54"/>
      <c r="UD49" s="54"/>
      <c r="UE49" s="54"/>
      <c r="UF49" s="54"/>
      <c r="UG49" s="54"/>
      <c r="UH49" s="54"/>
      <c r="UI49" s="54"/>
      <c r="UJ49" s="54"/>
      <c r="UK49" s="54"/>
      <c r="UL49" s="54"/>
      <c r="UM49" s="54"/>
      <c r="UN49" s="54"/>
      <c r="UO49" s="54"/>
      <c r="UP49" s="54"/>
      <c r="UQ49" s="54"/>
      <c r="UR49" s="54"/>
      <c r="US49" s="54"/>
      <c r="UT49" s="54"/>
      <c r="UU49" s="54"/>
      <c r="UV49" s="54"/>
      <c r="UW49" s="54"/>
      <c r="UX49" s="54"/>
      <c r="UY49" s="54"/>
      <c r="UZ49" s="54"/>
      <c r="VA49" s="54"/>
      <c r="VB49" s="54"/>
      <c r="VC49" s="54"/>
      <c r="VD49" s="54"/>
      <c r="VE49" s="54"/>
      <c r="VF49" s="54"/>
      <c r="VG49" s="54"/>
      <c r="VH49" s="54"/>
      <c r="VI49" s="54"/>
      <c r="VJ49" s="54"/>
      <c r="VK49" s="54"/>
      <c r="VL49" s="54"/>
      <c r="VM49" s="54"/>
      <c r="VN49" s="54"/>
      <c r="VO49" s="54"/>
      <c r="VP49" s="54"/>
      <c r="VQ49" s="54"/>
      <c r="VR49" s="54"/>
      <c r="VS49" s="54"/>
      <c r="VT49" s="54"/>
      <c r="VU49" s="54"/>
      <c r="VV49" s="54"/>
      <c r="VW49" s="54"/>
      <c r="VX49" s="54"/>
      <c r="VY49" s="54"/>
      <c r="VZ49" s="54"/>
      <c r="WA49" s="54"/>
      <c r="WB49" s="54"/>
      <c r="WC49" s="54"/>
      <c r="WD49" s="54"/>
      <c r="WE49" s="54"/>
      <c r="WF49" s="54"/>
      <c r="WG49" s="54"/>
      <c r="WH49" s="54"/>
      <c r="WI49" s="54"/>
      <c r="WJ49" s="54"/>
      <c r="WK49" s="54"/>
      <c r="WL49" s="54"/>
      <c r="WM49" s="54"/>
      <c r="WN49" s="54"/>
      <c r="WO49" s="54"/>
      <c r="WP49" s="54"/>
      <c r="WQ49" s="54"/>
      <c r="WR49" s="54"/>
      <c r="WS49" s="54"/>
      <c r="WT49" s="54"/>
      <c r="WU49" s="54"/>
      <c r="WV49" s="54"/>
      <c r="WW49" s="54"/>
      <c r="WX49" s="54"/>
      <c r="WY49" s="54"/>
      <c r="WZ49" s="54"/>
      <c r="XA49" s="54"/>
      <c r="XB49" s="54"/>
      <c r="XC49" s="54"/>
      <c r="XD49" s="54"/>
      <c r="XE49" s="54"/>
      <c r="XF49" s="54"/>
      <c r="XG49" s="54"/>
      <c r="XH49" s="54"/>
      <c r="XI49" s="54"/>
      <c r="XJ49" s="54"/>
      <c r="XK49" s="54"/>
      <c r="XL49" s="54"/>
      <c r="XM49" s="54"/>
      <c r="XN49" s="54"/>
      <c r="XO49" s="54"/>
      <c r="XP49" s="54"/>
      <c r="XQ49" s="54"/>
      <c r="XR49" s="54"/>
      <c r="XS49" s="54"/>
      <c r="XT49" s="54"/>
      <c r="XU49" s="54"/>
      <c r="XV49" s="54"/>
      <c r="XW49" s="54"/>
      <c r="XX49" s="54"/>
      <c r="XY49" s="54"/>
      <c r="XZ49" s="54"/>
      <c r="YA49" s="54"/>
      <c r="YB49" s="54"/>
      <c r="YC49" s="54"/>
      <c r="YD49" s="54"/>
      <c r="YE49" s="54"/>
      <c r="YF49" s="54"/>
      <c r="YG49" s="54"/>
      <c r="YH49" s="54"/>
      <c r="YI49" s="54"/>
      <c r="YJ49" s="54"/>
      <c r="YK49" s="54"/>
      <c r="YL49" s="54"/>
      <c r="YM49" s="54"/>
      <c r="YN49" s="54"/>
      <c r="YO49" s="54"/>
      <c r="YP49" s="54"/>
      <c r="YQ49" s="54"/>
      <c r="YR49" s="54"/>
      <c r="YS49" s="54"/>
      <c r="YT49" s="54"/>
      <c r="YU49" s="54"/>
      <c r="YV49" s="54"/>
      <c r="YW49" s="54"/>
      <c r="YX49" s="54"/>
      <c r="YY49" s="54"/>
      <c r="YZ49" s="54"/>
      <c r="ZA49" s="54"/>
      <c r="ZB49" s="54"/>
      <c r="ZC49" s="54"/>
      <c r="ZD49" s="54"/>
      <c r="ZE49" s="54"/>
      <c r="ZF49" s="54"/>
      <c r="ZG49" s="54"/>
      <c r="ZH49" s="54"/>
      <c r="ZI49" s="54"/>
      <c r="ZJ49" s="54"/>
      <c r="ZK49" s="54"/>
      <c r="ZL49" s="54"/>
      <c r="ZM49" s="54"/>
      <c r="ZN49" s="54"/>
      <c r="ZO49" s="54"/>
      <c r="ZP49" s="54"/>
      <c r="ZQ49" s="54"/>
      <c r="ZR49" s="54"/>
      <c r="ZS49" s="54"/>
      <c r="ZT49" s="54"/>
      <c r="ZU49" s="54"/>
      <c r="ZV49" s="54"/>
      <c r="ZW49" s="54"/>
      <c r="ZX49" s="54"/>
      <c r="ZY49" s="54"/>
      <c r="ZZ49" s="54"/>
      <c r="AAA49" s="54"/>
      <c r="AAB49" s="54"/>
      <c r="AAC49" s="54"/>
      <c r="AAD49" s="54"/>
      <c r="AAE49" s="54"/>
      <c r="AAF49" s="54"/>
      <c r="AAG49" s="54"/>
      <c r="AAH49" s="54"/>
      <c r="AAI49" s="54"/>
      <c r="AAJ49" s="54"/>
      <c r="AAK49" s="54"/>
      <c r="AAL49" s="54"/>
      <c r="AAM49" s="54"/>
      <c r="AAN49" s="54"/>
      <c r="AAO49" s="54"/>
      <c r="AAP49" s="54"/>
      <c r="AAQ49" s="54"/>
      <c r="AAR49" s="54"/>
      <c r="AAS49" s="54"/>
      <c r="AAT49" s="54"/>
      <c r="AAU49" s="54"/>
      <c r="AAV49" s="54"/>
      <c r="AAW49" s="54"/>
      <c r="AAX49" s="54"/>
      <c r="AAY49" s="54"/>
      <c r="AAZ49" s="54"/>
      <c r="ABA49" s="54"/>
      <c r="ABB49" s="54"/>
      <c r="ABC49" s="54"/>
      <c r="ABD49" s="54"/>
      <c r="ABE49" s="54"/>
      <c r="ABF49" s="54"/>
      <c r="ABG49" s="54"/>
      <c r="ABH49" s="54"/>
      <c r="ABI49" s="54"/>
      <c r="ABJ49" s="54"/>
      <c r="ABK49" s="54"/>
      <c r="ABL49" s="54"/>
      <c r="ABM49" s="54"/>
      <c r="ABN49" s="54"/>
      <c r="ABO49" s="54"/>
      <c r="ABP49" s="54"/>
      <c r="ABQ49" s="54"/>
      <c r="ABR49" s="54"/>
      <c r="ABS49" s="54"/>
      <c r="ABT49" s="54"/>
      <c r="ABU49" s="54"/>
      <c r="ABV49" s="54"/>
      <c r="ABW49" s="54"/>
      <c r="ABX49" s="54"/>
      <c r="ABY49" s="54"/>
      <c r="ABZ49" s="54"/>
      <c r="ACA49" s="54"/>
      <c r="ACB49" s="54"/>
      <c r="ACC49" s="54"/>
      <c r="ACD49" s="54"/>
      <c r="ACE49" s="54"/>
      <c r="ACF49" s="54"/>
      <c r="ACG49" s="54"/>
      <c r="ACH49" s="54"/>
      <c r="ACI49" s="54"/>
      <c r="ACJ49" s="54"/>
      <c r="ACK49" s="54"/>
      <c r="ACL49" s="54"/>
      <c r="ACM49" s="54"/>
      <c r="ACN49" s="54"/>
      <c r="ACO49" s="54"/>
      <c r="ACP49" s="54"/>
      <c r="ACQ49" s="54"/>
      <c r="ACR49" s="54"/>
      <c r="ACS49" s="54"/>
      <c r="ACT49" s="54"/>
      <c r="ACU49" s="54"/>
      <c r="ACV49" s="54"/>
      <c r="ACW49" s="54"/>
      <c r="ACX49" s="54"/>
      <c r="ACY49" s="54"/>
      <c r="ACZ49" s="54"/>
      <c r="ADA49" s="54"/>
      <c r="ADB49" s="54"/>
      <c r="ADC49" s="54"/>
      <c r="ADD49" s="54"/>
      <c r="ADE49" s="54"/>
      <c r="ADF49" s="54"/>
      <c r="ADG49" s="54"/>
      <c r="ADH49" s="54"/>
      <c r="ADI49" s="54"/>
      <c r="ADJ49" s="54"/>
      <c r="ADK49" s="54"/>
      <c r="ADL49" s="54"/>
      <c r="ADM49" s="54"/>
      <c r="ADN49" s="54"/>
      <c r="ADO49" s="54"/>
      <c r="ADP49" s="54"/>
      <c r="ADQ49" s="54"/>
      <c r="ADR49" s="54"/>
      <c r="ADS49" s="54"/>
      <c r="ADT49" s="54"/>
      <c r="ADU49" s="54"/>
      <c r="ADV49" s="54"/>
      <c r="ADW49" s="54"/>
      <c r="ADX49" s="54"/>
      <c r="ADY49" s="54"/>
      <c r="ADZ49" s="54"/>
      <c r="AEA49" s="54"/>
      <c r="AEB49" s="54"/>
      <c r="AEC49" s="54"/>
      <c r="AED49" s="54"/>
      <c r="AEE49" s="54"/>
      <c r="AEF49" s="54"/>
      <c r="AEG49" s="54"/>
      <c r="AEH49" s="54"/>
      <c r="AEI49" s="54"/>
      <c r="AEJ49" s="54"/>
      <c r="AEK49" s="54"/>
      <c r="AEL49" s="54"/>
      <c r="AEM49" s="54"/>
      <c r="AEN49" s="54"/>
      <c r="AEO49" s="54"/>
      <c r="AEP49" s="54"/>
      <c r="AEQ49" s="54"/>
      <c r="AER49" s="54"/>
      <c r="AES49" s="54"/>
      <c r="AET49" s="54"/>
      <c r="AEU49" s="54"/>
      <c r="AEV49" s="54"/>
      <c r="AEW49" s="54"/>
      <c r="AEX49" s="54"/>
      <c r="AEY49" s="54"/>
      <c r="AEZ49" s="54"/>
      <c r="AFA49" s="54"/>
      <c r="AFB49" s="54"/>
      <c r="AFC49" s="54"/>
      <c r="AFD49" s="54"/>
      <c r="AFE49" s="54"/>
      <c r="AFF49" s="54"/>
      <c r="AFG49" s="54"/>
      <c r="AFH49" s="54"/>
      <c r="AFI49" s="54"/>
      <c r="AFJ49" s="54"/>
      <c r="AFK49" s="54"/>
      <c r="AFL49" s="54"/>
      <c r="AFM49" s="54"/>
      <c r="AFN49" s="54"/>
      <c r="AFO49" s="54"/>
      <c r="AFP49" s="54"/>
      <c r="AFQ49" s="54"/>
      <c r="AFR49" s="54"/>
      <c r="AFS49" s="54"/>
      <c r="AFT49" s="54"/>
      <c r="AFU49" s="54"/>
      <c r="AFV49" s="54"/>
      <c r="AFW49" s="54"/>
      <c r="AFX49" s="54"/>
      <c r="AFY49" s="54"/>
      <c r="AFZ49" s="54"/>
      <c r="AGA49" s="54"/>
      <c r="AGB49" s="54"/>
      <c r="AGC49" s="54"/>
      <c r="AGD49" s="54"/>
      <c r="AGE49" s="54"/>
      <c r="AGF49" s="54"/>
      <c r="AGG49" s="54"/>
      <c r="AGH49" s="54"/>
      <c r="AGI49" s="54"/>
      <c r="AGJ49" s="54"/>
      <c r="AGK49" s="54"/>
      <c r="AGL49" s="54"/>
      <c r="AGM49" s="54"/>
      <c r="AGN49" s="54"/>
      <c r="AGO49" s="54"/>
      <c r="AGP49" s="54"/>
      <c r="AGQ49" s="54"/>
      <c r="AGR49" s="54"/>
      <c r="AGS49" s="54"/>
      <c r="AGT49" s="54"/>
      <c r="AGU49" s="54"/>
      <c r="AGV49" s="54"/>
      <c r="AGW49" s="54"/>
      <c r="AGX49" s="54"/>
      <c r="AGY49" s="54"/>
      <c r="AGZ49" s="54"/>
      <c r="AHA49" s="54"/>
      <c r="AHB49" s="54"/>
      <c r="AHC49" s="54"/>
      <c r="AHD49" s="54"/>
      <c r="AHE49" s="54"/>
      <c r="AHF49" s="54"/>
      <c r="AHG49" s="54"/>
      <c r="AHH49" s="54"/>
      <c r="AHI49" s="54"/>
      <c r="AHJ49" s="54"/>
      <c r="AHK49" s="54"/>
      <c r="AHL49" s="54"/>
      <c r="AHM49" s="54"/>
      <c r="AHN49" s="54"/>
      <c r="AHO49" s="54"/>
      <c r="AHP49" s="54"/>
      <c r="AHQ49" s="54"/>
      <c r="AHR49" s="54"/>
      <c r="AHS49" s="54"/>
      <c r="AHT49" s="54"/>
      <c r="AHU49" s="54"/>
      <c r="AHV49" s="54"/>
      <c r="AHW49" s="54"/>
      <c r="AHX49" s="54"/>
      <c r="AHY49" s="54"/>
      <c r="AHZ49" s="54"/>
      <c r="AIA49" s="54"/>
      <c r="AIB49" s="54"/>
      <c r="AIC49" s="54"/>
      <c r="AID49" s="54"/>
      <c r="AIE49" s="54"/>
      <c r="AIF49" s="54"/>
      <c r="AIG49" s="54"/>
      <c r="AIH49" s="54"/>
      <c r="AII49" s="54"/>
      <c r="AIJ49" s="54"/>
      <c r="AIK49" s="54"/>
      <c r="AIL49" s="54"/>
      <c r="AIM49" s="54"/>
      <c r="AIN49" s="54"/>
      <c r="AIO49" s="54"/>
      <c r="AIP49" s="54"/>
      <c r="AIQ49" s="54"/>
      <c r="AIR49" s="54"/>
      <c r="AIS49" s="54"/>
      <c r="AIT49" s="54"/>
      <c r="AIU49" s="54"/>
      <c r="AIV49" s="54"/>
      <c r="AIW49" s="54"/>
      <c r="AIX49" s="54"/>
      <c r="AIY49" s="54"/>
      <c r="AIZ49" s="54"/>
      <c r="AJA49" s="54"/>
      <c r="AJB49" s="54"/>
      <c r="AJC49" s="54"/>
      <c r="AJD49" s="54"/>
      <c r="AJE49" s="54"/>
      <c r="AJF49" s="54"/>
      <c r="AJG49" s="54"/>
      <c r="AJH49" s="54"/>
      <c r="AJI49" s="54"/>
      <c r="AJJ49" s="54"/>
      <c r="AJK49" s="54"/>
      <c r="AJL49" s="54"/>
      <c r="AJM49" s="54"/>
      <c r="AJN49" s="54"/>
      <c r="AJO49" s="54"/>
      <c r="AJP49" s="54"/>
      <c r="AJQ49" s="54"/>
      <c r="AJR49" s="54"/>
      <c r="AJS49" s="54"/>
      <c r="AJT49" s="54"/>
      <c r="AJU49" s="54"/>
      <c r="AJV49" s="54"/>
      <c r="AJW49" s="54"/>
      <c r="AJX49" s="54"/>
      <c r="AJY49" s="54"/>
      <c r="AJZ49" s="54"/>
      <c r="AKA49" s="54"/>
      <c r="AKB49" s="54"/>
      <c r="AKC49" s="54"/>
      <c r="AKD49" s="54"/>
      <c r="AKE49" s="54"/>
      <c r="AKF49" s="54"/>
      <c r="AKG49" s="54"/>
      <c r="AKH49" s="54"/>
      <c r="AKI49" s="54"/>
      <c r="AKJ49" s="54"/>
      <c r="AKK49" s="54"/>
      <c r="AKL49" s="54"/>
      <c r="AKM49" s="54"/>
      <c r="AKN49" s="54"/>
      <c r="AKO49" s="54"/>
      <c r="AKP49" s="54"/>
      <c r="AKQ49" s="54"/>
      <c r="AKR49" s="54"/>
      <c r="AKS49" s="54"/>
      <c r="AKT49" s="54"/>
      <c r="AKU49" s="54"/>
      <c r="AKV49" s="54"/>
      <c r="AKW49" s="54"/>
      <c r="AKX49" s="54"/>
      <c r="AKY49" s="54"/>
      <c r="AKZ49" s="54"/>
      <c r="ALA49" s="54"/>
      <c r="ALB49" s="54"/>
      <c r="ALC49" s="54"/>
      <c r="ALD49" s="54"/>
      <c r="ALE49" s="54"/>
      <c r="ALF49" s="54"/>
      <c r="ALG49" s="54"/>
      <c r="ALH49" s="54"/>
      <c r="ALI49" s="54"/>
      <c r="ALJ49" s="54"/>
      <c r="ALK49" s="54"/>
      <c r="ALL49" s="54"/>
      <c r="ALM49" s="54"/>
      <c r="ALN49" s="54"/>
      <c r="ALO49" s="54"/>
      <c r="ALP49" s="54"/>
      <c r="ALQ49" s="54"/>
      <c r="ALR49" s="54"/>
      <c r="ALS49" s="54"/>
      <c r="ALT49" s="54"/>
      <c r="ALU49" s="54"/>
      <c r="ALV49" s="54"/>
      <c r="ALW49" s="54"/>
      <c r="ALX49" s="54"/>
      <c r="ALY49" s="54"/>
      <c r="ALZ49" s="54"/>
      <c r="AMA49" s="54"/>
      <c r="AMB49" s="54"/>
      <c r="AMC49" s="54"/>
      <c r="AMD49" s="54"/>
      <c r="AME49" s="54"/>
      <c r="AMF49" s="54"/>
      <c r="AMG49" s="54"/>
      <c r="AMH49" s="54"/>
      <c r="AMI49" s="54"/>
      <c r="AMJ49" s="54"/>
      <c r="AMK49" s="54"/>
      <c r="AML49" s="54"/>
      <c r="AMM49" s="54"/>
      <c r="AMN49" s="54"/>
      <c r="AMO49" s="54"/>
      <c r="AMP49" s="54"/>
      <c r="AMQ49" s="54"/>
      <c r="AMR49" s="54"/>
      <c r="AMS49" s="54"/>
      <c r="AMT49" s="54"/>
      <c r="AMU49" s="54"/>
      <c r="AMV49" s="54"/>
      <c r="AMW49" s="54"/>
      <c r="AMX49" s="54"/>
      <c r="AMY49" s="54"/>
      <c r="AMZ49" s="54"/>
      <c r="ANA49" s="54"/>
      <c r="ANB49" s="54"/>
      <c r="ANC49" s="54"/>
      <c r="AND49" s="54"/>
      <c r="ANE49" s="54"/>
      <c r="ANF49" s="54"/>
      <c r="ANG49" s="54"/>
      <c r="ANH49" s="54"/>
      <c r="ANI49" s="54"/>
      <c r="ANJ49" s="54"/>
      <c r="ANK49" s="54"/>
      <c r="ANL49" s="54"/>
      <c r="ANM49" s="54"/>
      <c r="ANN49" s="54"/>
      <c r="ANO49" s="54"/>
      <c r="ANP49" s="54"/>
      <c r="ANQ49" s="54"/>
      <c r="ANR49" s="54"/>
      <c r="ANS49" s="54"/>
      <c r="ANT49" s="54"/>
      <c r="ANU49" s="54"/>
      <c r="ANV49" s="54"/>
      <c r="ANW49" s="54"/>
      <c r="ANX49" s="54"/>
      <c r="ANY49" s="54"/>
      <c r="ANZ49" s="54"/>
      <c r="AOA49" s="54"/>
      <c r="AOB49" s="54"/>
      <c r="AOC49" s="54"/>
      <c r="AOD49" s="54"/>
      <c r="AOE49" s="54"/>
      <c r="AOF49" s="54"/>
      <c r="AOG49" s="54"/>
      <c r="AOH49" s="54"/>
      <c r="AOI49" s="54"/>
      <c r="AOJ49" s="54"/>
      <c r="AOK49" s="54"/>
      <c r="AOL49" s="54"/>
      <c r="AOM49" s="54"/>
      <c r="AON49" s="54"/>
      <c r="AOO49" s="54"/>
      <c r="AOP49" s="54"/>
      <c r="AOQ49" s="54"/>
      <c r="AOR49" s="54"/>
      <c r="AOS49" s="54"/>
      <c r="AOT49" s="54"/>
      <c r="AOU49" s="54"/>
      <c r="AOV49" s="54"/>
      <c r="AOW49" s="54"/>
      <c r="AOX49" s="54"/>
      <c r="AOY49" s="54"/>
      <c r="AOZ49" s="54"/>
      <c r="APA49" s="54"/>
      <c r="APB49" s="54"/>
      <c r="APC49" s="54"/>
      <c r="APD49" s="54"/>
      <c r="APE49" s="54"/>
      <c r="APF49" s="54"/>
      <c r="APG49" s="54"/>
      <c r="APH49" s="54"/>
      <c r="API49" s="54"/>
      <c r="APJ49" s="54"/>
      <c r="APK49" s="54"/>
      <c r="APL49" s="54"/>
      <c r="APM49" s="54"/>
      <c r="APN49" s="54"/>
      <c r="APO49" s="54"/>
      <c r="APP49" s="54"/>
      <c r="APQ49" s="54"/>
      <c r="APR49" s="54"/>
      <c r="APS49" s="54"/>
      <c r="APT49" s="54"/>
      <c r="APU49" s="54"/>
      <c r="APV49" s="54"/>
      <c r="APW49" s="54"/>
      <c r="APX49" s="54"/>
      <c r="APY49" s="54"/>
      <c r="APZ49" s="54"/>
      <c r="AQA49" s="54"/>
      <c r="AQB49" s="54"/>
      <c r="AQC49" s="54"/>
      <c r="AQD49" s="54"/>
      <c r="AQE49" s="54"/>
      <c r="AQF49" s="54"/>
      <c r="AQG49" s="54"/>
      <c r="AQH49" s="54"/>
      <c r="AQI49" s="54"/>
      <c r="AQJ49" s="54"/>
      <c r="AQK49" s="54"/>
      <c r="AQL49" s="54"/>
      <c r="AQM49" s="54"/>
      <c r="AQN49" s="54"/>
      <c r="AQO49" s="54"/>
      <c r="AQP49" s="54"/>
      <c r="AQQ49" s="54"/>
      <c r="AQR49" s="54"/>
      <c r="AQS49" s="54"/>
      <c r="AQT49" s="54"/>
      <c r="AQU49" s="54"/>
      <c r="AQV49" s="54"/>
      <c r="AQW49" s="54"/>
      <c r="AQX49" s="54"/>
      <c r="AQY49" s="54"/>
      <c r="AQZ49" s="54"/>
      <c r="ARA49" s="54"/>
      <c r="ARB49" s="54"/>
      <c r="ARC49" s="54"/>
      <c r="ARD49" s="54"/>
      <c r="ARE49" s="54"/>
      <c r="ARF49" s="54"/>
      <c r="ARG49" s="54"/>
      <c r="ARH49" s="54"/>
      <c r="ARI49" s="54"/>
      <c r="ARJ49" s="54"/>
      <c r="ARK49" s="54"/>
      <c r="ARL49" s="54"/>
      <c r="ARM49" s="54"/>
      <c r="ARN49" s="54"/>
      <c r="ARO49" s="54"/>
      <c r="ARP49" s="54"/>
      <c r="ARQ49" s="54"/>
      <c r="ARR49" s="54"/>
      <c r="ARS49" s="54"/>
      <c r="ART49" s="54"/>
      <c r="ARU49" s="54"/>
      <c r="ARV49" s="54"/>
      <c r="ARW49" s="54"/>
      <c r="ARX49" s="54"/>
      <c r="ARY49" s="54"/>
      <c r="ARZ49" s="54"/>
      <c r="ASA49" s="54"/>
      <c r="ASB49" s="54"/>
      <c r="ASC49" s="54"/>
      <c r="ASD49" s="54"/>
      <c r="ASE49" s="54"/>
      <c r="ASF49" s="54"/>
      <c r="ASG49" s="54"/>
      <c r="ASH49" s="54"/>
      <c r="ASI49" s="54"/>
      <c r="ASJ49" s="54"/>
      <c r="ASK49" s="54"/>
      <c r="ASL49" s="54"/>
      <c r="ASM49" s="54"/>
      <c r="ASN49" s="54"/>
      <c r="ASO49" s="54"/>
      <c r="ASP49" s="54"/>
      <c r="ASQ49" s="54"/>
      <c r="ASR49" s="54"/>
      <c r="ASS49" s="54"/>
      <c r="AST49" s="54"/>
      <c r="ASU49" s="54"/>
      <c r="ASV49" s="54"/>
      <c r="ASW49" s="54"/>
      <c r="ASX49" s="54"/>
      <c r="ASY49" s="54"/>
      <c r="ASZ49" s="54"/>
      <c r="ATA49" s="54"/>
      <c r="ATB49" s="54"/>
      <c r="ATC49" s="54"/>
      <c r="ATD49" s="54"/>
      <c r="ATE49" s="54"/>
      <c r="ATF49" s="54"/>
      <c r="ATG49" s="54"/>
      <c r="ATH49" s="54"/>
      <c r="ATI49" s="54"/>
      <c r="ATJ49" s="54"/>
      <c r="ATK49" s="54"/>
      <c r="ATL49" s="54"/>
      <c r="ATM49" s="54"/>
      <c r="ATN49" s="54"/>
      <c r="ATO49" s="54"/>
      <c r="ATP49" s="54"/>
      <c r="ATQ49" s="54"/>
      <c r="ATR49" s="54"/>
      <c r="ATS49" s="54"/>
      <c r="ATT49" s="54"/>
      <c r="ATU49" s="54"/>
      <c r="ATV49" s="54"/>
      <c r="ATW49" s="54"/>
      <c r="ATX49" s="54"/>
      <c r="ATY49" s="54"/>
      <c r="ATZ49" s="54"/>
      <c r="AUA49" s="54"/>
      <c r="AUB49" s="54"/>
      <c r="AUC49" s="54"/>
      <c r="AUD49" s="54"/>
      <c r="AUE49" s="54"/>
      <c r="AUF49" s="54"/>
      <c r="AUG49" s="54"/>
      <c r="AUH49" s="54"/>
      <c r="AUI49" s="54"/>
      <c r="AUJ49" s="54"/>
      <c r="AUK49" s="54"/>
      <c r="AUL49" s="54"/>
      <c r="AUM49" s="54"/>
      <c r="AUN49" s="54"/>
      <c r="AUO49" s="54"/>
      <c r="AUP49" s="54"/>
      <c r="AUQ49" s="54"/>
      <c r="AUR49" s="54"/>
      <c r="AUS49" s="54"/>
      <c r="AUT49" s="54"/>
      <c r="AUU49" s="54"/>
      <c r="AUV49" s="54"/>
      <c r="AUW49" s="54"/>
      <c r="AUX49" s="54"/>
      <c r="AUY49" s="54"/>
      <c r="AUZ49" s="54"/>
      <c r="AVA49" s="54"/>
      <c r="AVB49" s="54"/>
      <c r="AVC49" s="54"/>
      <c r="AVD49" s="54"/>
      <c r="AVE49" s="54"/>
      <c r="AVF49" s="54"/>
      <c r="AVG49" s="54"/>
      <c r="AVH49" s="54"/>
      <c r="AVI49" s="54"/>
      <c r="AVJ49" s="54"/>
      <c r="AVK49" s="54"/>
      <c r="AVL49" s="54"/>
      <c r="AVM49" s="54"/>
      <c r="AVN49" s="54"/>
      <c r="AVO49" s="54"/>
      <c r="AVP49" s="54"/>
      <c r="AVQ49" s="54"/>
      <c r="AVR49" s="54"/>
      <c r="AVS49" s="54"/>
      <c r="AVT49" s="54"/>
      <c r="AVU49" s="54"/>
      <c r="AVV49" s="54"/>
      <c r="AVW49" s="54"/>
      <c r="AVX49" s="54"/>
      <c r="AVY49" s="54"/>
      <c r="AVZ49" s="54"/>
      <c r="AWA49" s="54"/>
      <c r="AWB49" s="54"/>
      <c r="AWC49" s="54"/>
      <c r="AWD49" s="54"/>
      <c r="AWE49" s="54"/>
      <c r="AWF49" s="54"/>
      <c r="AWG49" s="54"/>
      <c r="AWH49" s="54"/>
      <c r="AWI49" s="54"/>
      <c r="AWJ49" s="54"/>
      <c r="AWK49" s="54"/>
      <c r="AWL49" s="54"/>
      <c r="AWM49" s="54"/>
      <c r="AWN49" s="54"/>
      <c r="AWO49" s="54"/>
      <c r="AWP49" s="54"/>
      <c r="AWQ49" s="54"/>
      <c r="AWR49" s="54"/>
      <c r="AWS49" s="54"/>
      <c r="AWT49" s="54"/>
      <c r="AWU49" s="54"/>
      <c r="AWV49" s="54"/>
      <c r="AWW49" s="54"/>
      <c r="AWX49" s="54"/>
      <c r="AWY49" s="54"/>
      <c r="AWZ49" s="54"/>
      <c r="AXA49" s="54"/>
      <c r="AXB49" s="54"/>
      <c r="AXC49" s="54"/>
      <c r="AXD49" s="54"/>
      <c r="AXE49" s="54"/>
      <c r="AXF49" s="54"/>
      <c r="AXG49" s="54"/>
      <c r="AXH49" s="54"/>
      <c r="AXI49" s="54"/>
      <c r="AXJ49" s="54"/>
      <c r="AXK49" s="54"/>
      <c r="AXL49" s="54"/>
      <c r="AXM49" s="54"/>
      <c r="AXN49" s="54"/>
      <c r="AXO49" s="54"/>
      <c r="AXP49" s="54"/>
      <c r="AXQ49" s="54"/>
      <c r="AXR49" s="54"/>
      <c r="AXS49" s="54"/>
      <c r="AXT49" s="54"/>
      <c r="AXU49" s="54"/>
      <c r="AXV49" s="54"/>
      <c r="AXW49" s="54"/>
      <c r="AXX49" s="54"/>
      <c r="AXY49" s="54"/>
      <c r="AXZ49" s="54"/>
      <c r="AYA49" s="54"/>
      <c r="AYB49" s="54"/>
      <c r="AYC49" s="54"/>
      <c r="AYD49" s="54"/>
      <c r="AYE49" s="54"/>
      <c r="AYF49" s="54"/>
      <c r="AYG49" s="54"/>
      <c r="AYH49" s="54"/>
      <c r="AYI49" s="54"/>
      <c r="AYJ49" s="54"/>
      <c r="AYK49" s="54"/>
      <c r="AYL49" s="54"/>
      <c r="AYM49" s="54"/>
      <c r="AYN49" s="54"/>
      <c r="AYO49" s="54"/>
      <c r="AYP49" s="54"/>
      <c r="AYQ49" s="54"/>
      <c r="AYR49" s="54"/>
      <c r="AYS49" s="54"/>
      <c r="AYT49" s="54"/>
      <c r="AYU49" s="54"/>
      <c r="AYV49" s="54"/>
      <c r="AYW49" s="54"/>
      <c r="AYX49" s="54"/>
      <c r="AYY49" s="54"/>
      <c r="AYZ49" s="54"/>
      <c r="AZA49" s="54"/>
      <c r="AZB49" s="54"/>
      <c r="AZC49" s="54"/>
      <c r="AZD49" s="54"/>
      <c r="AZE49" s="54"/>
      <c r="AZF49" s="54"/>
      <c r="AZG49" s="54"/>
      <c r="AZH49" s="54"/>
      <c r="AZI49" s="54"/>
      <c r="AZJ49" s="54"/>
      <c r="AZK49" s="54"/>
      <c r="AZL49" s="54"/>
      <c r="AZM49" s="54"/>
      <c r="AZN49" s="54"/>
      <c r="AZO49" s="54"/>
      <c r="AZP49" s="54"/>
      <c r="AZQ49" s="54"/>
      <c r="AZR49" s="54"/>
      <c r="AZS49" s="54"/>
      <c r="AZT49" s="54"/>
      <c r="AZU49" s="54"/>
      <c r="AZV49" s="54"/>
      <c r="AZW49" s="54"/>
      <c r="AZX49" s="54"/>
      <c r="AZY49" s="54"/>
      <c r="AZZ49" s="54"/>
      <c r="BAA49" s="54"/>
      <c r="BAB49" s="54"/>
      <c r="BAC49" s="54"/>
      <c r="BAD49" s="54"/>
      <c r="BAE49" s="54"/>
      <c r="BAF49" s="54"/>
      <c r="BAG49" s="54"/>
      <c r="BAH49" s="54"/>
      <c r="BAI49" s="54"/>
      <c r="BAJ49" s="54"/>
      <c r="BAK49" s="54"/>
      <c r="BAL49" s="54"/>
      <c r="BAM49" s="54"/>
      <c r="BAN49" s="54"/>
      <c r="BAO49" s="54"/>
      <c r="BAP49" s="54"/>
      <c r="BAQ49" s="54"/>
      <c r="BAR49" s="54"/>
      <c r="BAS49" s="54"/>
      <c r="BAT49" s="54"/>
      <c r="BAU49" s="54"/>
      <c r="BAV49" s="54"/>
      <c r="BAW49" s="54"/>
      <c r="BAX49" s="54"/>
      <c r="BAY49" s="54"/>
      <c r="BAZ49" s="54"/>
      <c r="BBA49" s="54"/>
      <c r="BBB49" s="54"/>
      <c r="BBC49" s="54"/>
      <c r="BBD49" s="54"/>
      <c r="BBE49" s="54"/>
      <c r="BBF49" s="54"/>
      <c r="BBG49" s="54"/>
      <c r="BBH49" s="54"/>
      <c r="BBI49" s="54"/>
      <c r="BBJ49" s="54"/>
      <c r="BBK49" s="54"/>
      <c r="BBL49" s="54"/>
      <c r="BBM49" s="54"/>
      <c r="BBN49" s="54"/>
      <c r="BBO49" s="54"/>
      <c r="BBP49" s="54"/>
      <c r="BBQ49" s="54"/>
      <c r="BBR49" s="54"/>
      <c r="BBS49" s="54"/>
      <c r="BBT49" s="54"/>
      <c r="BBU49" s="54"/>
      <c r="BBV49" s="54"/>
      <c r="BBW49" s="54"/>
      <c r="BBX49" s="54"/>
      <c r="BBY49" s="54"/>
      <c r="BBZ49" s="54"/>
      <c r="BCA49" s="54"/>
      <c r="BCB49" s="54"/>
      <c r="BCC49" s="54"/>
      <c r="BCD49" s="54"/>
      <c r="BCE49" s="54"/>
      <c r="BCF49" s="54"/>
      <c r="BCG49" s="54"/>
      <c r="BCH49" s="54"/>
      <c r="BCI49" s="54"/>
      <c r="BCJ49" s="54"/>
      <c r="BCK49" s="54"/>
      <c r="BCL49" s="54"/>
      <c r="BCM49" s="54"/>
      <c r="BCN49" s="54"/>
      <c r="BCO49" s="54"/>
      <c r="BCP49" s="54"/>
      <c r="BCQ49" s="54"/>
      <c r="BCR49" s="54"/>
      <c r="BCS49" s="54"/>
      <c r="BCT49" s="54"/>
      <c r="BCU49" s="54"/>
      <c r="BCV49" s="54"/>
      <c r="BCW49" s="54"/>
      <c r="BCX49" s="54"/>
      <c r="BCY49" s="54"/>
      <c r="BCZ49" s="54"/>
      <c r="BDA49" s="54"/>
      <c r="BDB49" s="54"/>
      <c r="BDC49" s="54"/>
      <c r="BDD49" s="54"/>
      <c r="BDE49" s="54"/>
      <c r="BDF49" s="54"/>
      <c r="BDG49" s="54"/>
      <c r="BDH49" s="54"/>
      <c r="BDI49" s="54"/>
      <c r="BDJ49" s="54"/>
      <c r="BDK49" s="54"/>
      <c r="BDL49" s="54"/>
      <c r="BDM49" s="54"/>
      <c r="BDN49" s="54"/>
      <c r="BDO49" s="54"/>
      <c r="BDP49" s="54"/>
      <c r="BDQ49" s="54"/>
      <c r="BDR49" s="54"/>
      <c r="BDS49" s="54"/>
      <c r="BDT49" s="54"/>
      <c r="BDU49" s="54"/>
      <c r="BDV49" s="54"/>
      <c r="BDW49" s="54"/>
      <c r="BDX49" s="54"/>
      <c r="BDY49" s="54"/>
      <c r="BDZ49" s="54"/>
      <c r="BEA49" s="54"/>
      <c r="BEB49" s="54"/>
      <c r="BEC49" s="54"/>
      <c r="BED49" s="54"/>
      <c r="BEE49" s="54"/>
      <c r="BEF49" s="54"/>
      <c r="BEG49" s="54"/>
      <c r="BEH49" s="54"/>
      <c r="BEI49" s="54"/>
      <c r="BEJ49" s="54"/>
      <c r="BEK49" s="54"/>
      <c r="BEL49" s="54"/>
      <c r="BEM49" s="54"/>
      <c r="BEN49" s="54"/>
      <c r="BEO49" s="54"/>
      <c r="BEP49" s="54"/>
      <c r="BEQ49" s="54"/>
      <c r="BER49" s="54"/>
      <c r="BES49" s="54"/>
      <c r="BET49" s="54"/>
      <c r="BEU49" s="54"/>
      <c r="BEV49" s="54"/>
      <c r="BEW49" s="54"/>
      <c r="BEX49" s="54"/>
      <c r="BEY49" s="54"/>
      <c r="BEZ49" s="54"/>
      <c r="BFA49" s="54"/>
      <c r="BFB49" s="54"/>
      <c r="BFC49" s="54"/>
      <c r="BFD49" s="54"/>
      <c r="BFE49" s="54"/>
      <c r="BFF49" s="54"/>
      <c r="BFG49" s="54"/>
      <c r="BFH49" s="54"/>
      <c r="BFI49" s="54"/>
      <c r="BFJ49" s="54"/>
      <c r="BFK49" s="54"/>
      <c r="BFL49" s="54"/>
      <c r="BFM49" s="54"/>
      <c r="BFN49" s="54"/>
      <c r="BFO49" s="54"/>
      <c r="BFP49" s="54"/>
      <c r="BFQ49" s="54"/>
      <c r="BFR49" s="54"/>
      <c r="BFS49" s="54"/>
      <c r="BFT49" s="54"/>
      <c r="BFU49" s="54"/>
      <c r="BFV49" s="54"/>
      <c r="BFW49" s="54"/>
      <c r="BFX49" s="54"/>
      <c r="BFY49" s="54"/>
      <c r="BFZ49" s="54"/>
      <c r="BGA49" s="54"/>
      <c r="BGB49" s="54"/>
      <c r="BGC49" s="54"/>
      <c r="BGD49" s="54"/>
      <c r="BGE49" s="54"/>
      <c r="BGF49" s="54"/>
      <c r="BGG49" s="54"/>
      <c r="BGH49" s="54"/>
      <c r="BGI49" s="54"/>
      <c r="BGJ49" s="54"/>
      <c r="BGK49" s="54"/>
      <c r="BGL49" s="54"/>
      <c r="BGM49" s="54"/>
      <c r="BGN49" s="54"/>
      <c r="BGO49" s="54"/>
      <c r="BGP49" s="54"/>
      <c r="BGQ49" s="54"/>
      <c r="BGR49" s="54"/>
      <c r="BGS49" s="54"/>
      <c r="BGT49" s="54"/>
      <c r="BGU49" s="54"/>
      <c r="BGV49" s="54"/>
      <c r="BGW49" s="54"/>
      <c r="BGX49" s="54"/>
      <c r="BGY49" s="54"/>
      <c r="BGZ49" s="54"/>
      <c r="BHA49" s="54"/>
      <c r="BHB49" s="54"/>
      <c r="BHC49" s="54"/>
      <c r="BHD49" s="54"/>
      <c r="BHE49" s="54"/>
      <c r="BHF49" s="54"/>
      <c r="BHG49" s="54"/>
      <c r="BHH49" s="54"/>
      <c r="BHI49" s="54"/>
      <c r="BHJ49" s="54"/>
      <c r="BHK49" s="54"/>
      <c r="BHL49" s="54"/>
      <c r="BHM49" s="54"/>
      <c r="BHN49" s="54"/>
      <c r="BHO49" s="54"/>
      <c r="BHP49" s="54"/>
      <c r="BHQ49" s="54"/>
      <c r="BHR49" s="54"/>
      <c r="BHS49" s="54"/>
      <c r="BHT49" s="54"/>
      <c r="BHU49" s="54"/>
      <c r="BHV49" s="54"/>
      <c r="BHW49" s="54"/>
      <c r="BHX49" s="54"/>
      <c r="BHY49" s="54"/>
      <c r="BHZ49" s="54"/>
      <c r="BIA49" s="54"/>
      <c r="BIB49" s="54"/>
      <c r="BIC49" s="54"/>
      <c r="BID49" s="54"/>
      <c r="BIE49" s="54"/>
      <c r="BIF49" s="54"/>
      <c r="BIG49" s="54"/>
      <c r="BIH49" s="54"/>
      <c r="BII49" s="54"/>
      <c r="BIJ49" s="54"/>
      <c r="BIK49" s="54"/>
      <c r="BIL49" s="54"/>
      <c r="BIM49" s="54"/>
      <c r="BIN49" s="54"/>
      <c r="BIO49" s="54"/>
      <c r="BIP49" s="54"/>
      <c r="BIQ49" s="54"/>
      <c r="BIR49" s="54"/>
      <c r="BIS49" s="54"/>
      <c r="BIT49" s="54"/>
      <c r="BIU49" s="54"/>
      <c r="BIV49" s="54"/>
      <c r="BIW49" s="54"/>
      <c r="BIX49" s="54"/>
      <c r="BIY49" s="54"/>
      <c r="BIZ49" s="54"/>
      <c r="BJA49" s="54"/>
      <c r="BJB49" s="54"/>
      <c r="BJC49" s="54"/>
      <c r="BJD49" s="54"/>
      <c r="BJE49" s="54"/>
      <c r="BJF49" s="54"/>
      <c r="BJG49" s="54"/>
      <c r="BJH49" s="54"/>
      <c r="BJI49" s="54"/>
      <c r="BJJ49" s="54"/>
      <c r="BJK49" s="54"/>
      <c r="BJL49" s="54"/>
      <c r="BJM49" s="54"/>
      <c r="BJN49" s="54"/>
      <c r="BJO49" s="54"/>
      <c r="BJP49" s="54"/>
      <c r="BJQ49" s="54"/>
      <c r="BJR49" s="54"/>
      <c r="BJS49" s="54"/>
      <c r="BJT49" s="54"/>
      <c r="BJU49" s="54"/>
      <c r="BJV49" s="54"/>
      <c r="BJW49" s="54"/>
      <c r="BJX49" s="54"/>
      <c r="BJY49" s="54"/>
      <c r="BJZ49" s="54"/>
      <c r="BKA49" s="54"/>
      <c r="BKB49" s="54"/>
      <c r="BKC49" s="54"/>
      <c r="BKD49" s="54"/>
      <c r="BKE49" s="54"/>
      <c r="BKF49" s="54"/>
      <c r="BKG49" s="54"/>
      <c r="BKH49" s="54"/>
      <c r="BKI49" s="54"/>
      <c r="BKJ49" s="54"/>
      <c r="BKK49" s="54"/>
      <c r="BKL49" s="54"/>
      <c r="BKM49" s="54"/>
      <c r="BKN49" s="54"/>
      <c r="BKO49" s="54"/>
      <c r="BKP49" s="54"/>
      <c r="BKQ49" s="54"/>
      <c r="BKR49" s="54"/>
      <c r="BKS49" s="54"/>
      <c r="BKT49" s="54"/>
      <c r="BKU49" s="54"/>
      <c r="BKV49" s="54"/>
      <c r="BKW49" s="54"/>
      <c r="BKX49" s="54"/>
      <c r="BKY49" s="54"/>
      <c r="BKZ49" s="54"/>
      <c r="BLA49" s="54"/>
      <c r="BLB49" s="54"/>
      <c r="BLC49" s="54"/>
      <c r="BLD49" s="54"/>
      <c r="BLE49" s="54"/>
      <c r="BLF49" s="54"/>
      <c r="BLG49" s="54"/>
      <c r="BLH49" s="54"/>
      <c r="BLI49" s="54"/>
      <c r="BLJ49" s="54"/>
      <c r="BLK49" s="54"/>
      <c r="BLL49" s="54"/>
      <c r="BLM49" s="54"/>
      <c r="BLN49" s="54"/>
      <c r="BLO49" s="54"/>
      <c r="BLP49" s="54"/>
      <c r="BLQ49" s="54"/>
      <c r="BLR49" s="54"/>
      <c r="BLS49" s="54"/>
      <c r="BLT49" s="54"/>
      <c r="BLU49" s="54"/>
      <c r="BLV49" s="54"/>
      <c r="BLW49" s="54"/>
      <c r="BLX49" s="54"/>
      <c r="BLY49" s="54"/>
      <c r="BLZ49" s="54"/>
      <c r="BMA49" s="54"/>
      <c r="BMB49" s="54"/>
      <c r="BMC49" s="54"/>
      <c r="BMD49" s="54"/>
      <c r="BME49" s="54"/>
      <c r="BMF49" s="54"/>
      <c r="BMG49" s="54"/>
      <c r="BMH49" s="54"/>
      <c r="BMI49" s="54"/>
      <c r="BMJ49" s="54"/>
      <c r="BMK49" s="54"/>
      <c r="BML49" s="54"/>
      <c r="BMM49" s="54"/>
      <c r="BMN49" s="54"/>
      <c r="BMO49" s="54"/>
      <c r="BMP49" s="54"/>
      <c r="BMQ49" s="54"/>
      <c r="BMR49" s="54"/>
      <c r="BMS49" s="54"/>
      <c r="BMT49" s="54"/>
      <c r="BMU49" s="54"/>
      <c r="BMV49" s="54"/>
      <c r="BMW49" s="54"/>
      <c r="BMX49" s="54"/>
      <c r="BMY49" s="54"/>
      <c r="BMZ49" s="54"/>
      <c r="BNA49" s="54"/>
      <c r="BNB49" s="54"/>
      <c r="BNC49" s="54"/>
      <c r="BND49" s="54"/>
      <c r="BNE49" s="54"/>
      <c r="BNF49" s="54"/>
      <c r="BNG49" s="54"/>
      <c r="BNH49" s="54"/>
      <c r="BNI49" s="54"/>
      <c r="BNJ49" s="54"/>
      <c r="BNK49" s="54"/>
      <c r="BNL49" s="54"/>
      <c r="BNM49" s="54"/>
      <c r="BNN49" s="54"/>
      <c r="BNO49" s="54"/>
      <c r="BNP49" s="54"/>
      <c r="BNQ49" s="54"/>
      <c r="BNR49" s="54"/>
      <c r="BNS49" s="54"/>
      <c r="BNT49" s="54"/>
      <c r="BNU49" s="54"/>
      <c r="BNV49" s="54"/>
      <c r="BNW49" s="54"/>
      <c r="BNX49" s="54"/>
      <c r="BNY49" s="54"/>
      <c r="BNZ49" s="54"/>
      <c r="BOA49" s="54"/>
      <c r="BOB49" s="54"/>
      <c r="BOC49" s="54"/>
      <c r="BOD49" s="54"/>
      <c r="BOE49" s="54"/>
      <c r="BOF49" s="54"/>
      <c r="BOG49" s="54"/>
      <c r="BOH49" s="54"/>
      <c r="BOI49" s="54"/>
      <c r="BOJ49" s="54"/>
      <c r="BOK49" s="54"/>
      <c r="BOL49" s="54"/>
      <c r="BOM49" s="54"/>
      <c r="BON49" s="54"/>
      <c r="BOO49" s="54"/>
      <c r="BOP49" s="54"/>
      <c r="BOQ49" s="54"/>
      <c r="BOR49" s="54"/>
      <c r="BOS49" s="54"/>
      <c r="BOT49" s="54"/>
      <c r="BOU49" s="54"/>
      <c r="BOV49" s="54"/>
      <c r="BOW49" s="54"/>
      <c r="BOX49" s="54"/>
      <c r="BOY49" s="54"/>
      <c r="BOZ49" s="54"/>
      <c r="BPA49" s="54"/>
      <c r="BPB49" s="54"/>
      <c r="BPC49" s="54"/>
      <c r="BPD49" s="54"/>
      <c r="BPE49" s="54"/>
      <c r="BPF49" s="54"/>
      <c r="BPG49" s="54"/>
      <c r="BPH49" s="54"/>
      <c r="BPI49" s="54"/>
      <c r="BPJ49" s="54"/>
      <c r="BPK49" s="54"/>
      <c r="BPL49" s="54"/>
      <c r="BPM49" s="54"/>
      <c r="BPN49" s="54"/>
      <c r="BPO49" s="54"/>
      <c r="BPP49" s="54"/>
      <c r="BPQ49" s="54"/>
      <c r="BPR49" s="54"/>
      <c r="BPS49" s="54"/>
      <c r="BPT49" s="54"/>
      <c r="BPU49" s="54"/>
      <c r="BPV49" s="54"/>
      <c r="BPW49" s="54"/>
      <c r="BPX49" s="54"/>
      <c r="BPY49" s="54"/>
      <c r="BPZ49" s="54"/>
      <c r="BQA49" s="54"/>
      <c r="BQB49" s="54"/>
      <c r="BQC49" s="54"/>
      <c r="BQD49" s="54"/>
      <c r="BQE49" s="54"/>
      <c r="BQF49" s="54"/>
      <c r="BQG49" s="54"/>
      <c r="BQH49" s="54"/>
      <c r="BQI49" s="54"/>
      <c r="BQJ49" s="54"/>
      <c r="BQK49" s="54"/>
      <c r="BQL49" s="54"/>
      <c r="BQM49" s="54"/>
      <c r="BQN49" s="54"/>
      <c r="BQO49" s="54"/>
      <c r="BQP49" s="54"/>
      <c r="BQQ49" s="54"/>
      <c r="BQR49" s="54"/>
      <c r="BQS49" s="54"/>
      <c r="BQT49" s="54"/>
      <c r="BQU49" s="54"/>
      <c r="BQV49" s="54"/>
      <c r="BQW49" s="54"/>
      <c r="BQX49" s="54"/>
      <c r="BQY49" s="54"/>
      <c r="BQZ49" s="54"/>
      <c r="BRA49" s="54"/>
      <c r="BRB49" s="54"/>
      <c r="BRC49" s="54"/>
      <c r="BRD49" s="54"/>
      <c r="BRE49" s="54"/>
      <c r="BRF49" s="54"/>
      <c r="BRG49" s="54"/>
      <c r="BRH49" s="54"/>
      <c r="BRI49" s="54"/>
      <c r="BRJ49" s="54"/>
      <c r="BRK49" s="54"/>
      <c r="BRL49" s="54"/>
      <c r="BRM49" s="54"/>
      <c r="BRN49" s="54"/>
      <c r="BRO49" s="54"/>
      <c r="BRP49" s="54"/>
      <c r="BRQ49" s="54"/>
      <c r="BRR49" s="54"/>
      <c r="BRS49" s="54"/>
      <c r="BRT49" s="54"/>
      <c r="BRU49" s="54"/>
      <c r="BRV49" s="54"/>
      <c r="BRW49" s="54"/>
      <c r="BRX49" s="54"/>
      <c r="BRY49" s="54"/>
      <c r="BRZ49" s="54"/>
      <c r="BSA49" s="54"/>
      <c r="BSB49" s="54"/>
      <c r="BSC49" s="54"/>
      <c r="BSD49" s="54"/>
      <c r="BSE49" s="54"/>
      <c r="BSF49" s="54"/>
      <c r="BSG49" s="54"/>
      <c r="BSH49" s="54"/>
      <c r="BSI49" s="54"/>
      <c r="BSJ49" s="54"/>
      <c r="BSK49" s="54"/>
      <c r="BSL49" s="54"/>
      <c r="BSM49" s="54"/>
      <c r="BSN49" s="54"/>
      <c r="BSO49" s="54"/>
      <c r="BSP49" s="54"/>
      <c r="BSQ49" s="54"/>
      <c r="BSR49" s="54"/>
      <c r="BSS49" s="54"/>
      <c r="BST49" s="54"/>
      <c r="BSU49" s="54"/>
      <c r="BSV49" s="54"/>
      <c r="BSW49" s="54"/>
      <c r="BSX49" s="54"/>
      <c r="BSY49" s="54"/>
      <c r="BSZ49" s="54"/>
      <c r="BTA49" s="54"/>
      <c r="BTB49" s="54"/>
      <c r="BTC49" s="54"/>
      <c r="BTD49" s="54"/>
      <c r="BTE49" s="54"/>
      <c r="BTF49" s="54"/>
      <c r="BTG49" s="54"/>
      <c r="BTH49" s="54"/>
      <c r="BTI49" s="54"/>
      <c r="BTJ49" s="54"/>
      <c r="BTK49" s="54"/>
      <c r="BTL49" s="54"/>
      <c r="BTM49" s="54"/>
      <c r="BTN49" s="54"/>
      <c r="BTO49" s="54"/>
      <c r="BTP49" s="54"/>
      <c r="BTQ49" s="54"/>
      <c r="BTR49" s="54"/>
      <c r="BTS49" s="54"/>
      <c r="BTT49" s="54"/>
      <c r="BTU49" s="54"/>
      <c r="BTV49" s="54"/>
      <c r="BTW49" s="54"/>
      <c r="BTX49" s="54"/>
      <c r="BTY49" s="54"/>
      <c r="BTZ49" s="54"/>
      <c r="BUA49" s="54"/>
      <c r="BUB49" s="54"/>
      <c r="BUC49" s="54"/>
      <c r="BUD49" s="54"/>
      <c r="BUE49" s="54"/>
      <c r="BUF49" s="54"/>
      <c r="BUG49" s="54"/>
      <c r="BUH49" s="54"/>
      <c r="BUI49" s="54"/>
      <c r="BUJ49" s="54"/>
      <c r="BUK49" s="54"/>
      <c r="BUL49" s="54"/>
      <c r="BUM49" s="54"/>
      <c r="BUN49" s="54"/>
      <c r="BUO49" s="54"/>
      <c r="BUP49" s="54"/>
      <c r="BUQ49" s="54"/>
      <c r="BUR49" s="54"/>
      <c r="BUS49" s="54"/>
      <c r="BUT49" s="54"/>
      <c r="BUU49" s="54"/>
      <c r="BUV49" s="54"/>
      <c r="BUW49" s="54"/>
      <c r="BUX49" s="54"/>
      <c r="BUY49" s="54"/>
      <c r="BUZ49" s="54"/>
      <c r="BVA49" s="54"/>
      <c r="BVB49" s="54"/>
      <c r="BVC49" s="54"/>
      <c r="BVD49" s="54"/>
      <c r="BVE49" s="54"/>
      <c r="BVF49" s="54"/>
      <c r="BVG49" s="54"/>
      <c r="BVH49" s="54"/>
      <c r="BVI49" s="54"/>
      <c r="BVJ49" s="54"/>
      <c r="BVK49" s="54"/>
      <c r="BVL49" s="54"/>
      <c r="BVM49" s="54"/>
      <c r="BVN49" s="54"/>
      <c r="BVO49" s="54"/>
      <c r="BVP49" s="54"/>
      <c r="BVQ49" s="54"/>
      <c r="BVR49" s="54"/>
      <c r="BVS49" s="54"/>
      <c r="BVT49" s="54"/>
      <c r="BVU49" s="54"/>
      <c r="BVV49" s="54"/>
      <c r="BVW49" s="54"/>
      <c r="BVX49" s="54"/>
      <c r="BVY49" s="54"/>
      <c r="BVZ49" s="54"/>
      <c r="BWA49" s="54"/>
      <c r="BWB49" s="54"/>
      <c r="BWC49" s="54"/>
      <c r="BWD49" s="54"/>
      <c r="BWE49" s="54"/>
      <c r="BWF49" s="54"/>
      <c r="BWG49" s="54"/>
      <c r="BWH49" s="54"/>
      <c r="BWI49" s="54"/>
      <c r="BWJ49" s="54"/>
      <c r="BWK49" s="54"/>
      <c r="BWL49" s="54"/>
      <c r="BWM49" s="54"/>
      <c r="BWN49" s="54"/>
      <c r="BWO49" s="54"/>
      <c r="BWP49" s="54"/>
      <c r="BWQ49" s="54"/>
      <c r="BWR49" s="54"/>
      <c r="BWS49" s="54"/>
      <c r="BWT49" s="54"/>
      <c r="BWU49" s="54"/>
      <c r="BWV49" s="54"/>
      <c r="BWW49" s="54"/>
      <c r="BWX49" s="54"/>
      <c r="BWY49" s="54"/>
      <c r="BWZ49" s="54"/>
      <c r="BXA49" s="54"/>
      <c r="BXB49" s="54"/>
      <c r="BXC49" s="54"/>
      <c r="BXD49" s="54"/>
      <c r="BXE49" s="54"/>
      <c r="BXF49" s="54"/>
      <c r="BXG49" s="54"/>
      <c r="BXH49" s="54"/>
      <c r="BXI49" s="54"/>
      <c r="BXJ49" s="54"/>
      <c r="BXK49" s="54"/>
      <c r="BXL49" s="54"/>
      <c r="BXM49" s="54"/>
      <c r="BXN49" s="54"/>
      <c r="BXO49" s="54"/>
      <c r="BXP49" s="54"/>
      <c r="BXQ49" s="54"/>
      <c r="BXR49" s="54"/>
      <c r="BXS49" s="54"/>
      <c r="BXT49" s="54"/>
      <c r="BXU49" s="54"/>
      <c r="BXV49" s="54"/>
      <c r="BXW49" s="54"/>
      <c r="BXX49" s="54"/>
      <c r="BXY49" s="54"/>
      <c r="BXZ49" s="54"/>
      <c r="BYA49" s="54"/>
      <c r="BYB49" s="54"/>
      <c r="BYC49" s="54"/>
      <c r="BYD49" s="54"/>
      <c r="BYE49" s="54"/>
      <c r="BYF49" s="54"/>
      <c r="BYG49" s="54"/>
      <c r="BYH49" s="54"/>
      <c r="BYI49" s="54"/>
      <c r="BYJ49" s="54"/>
      <c r="BYK49" s="54"/>
      <c r="BYL49" s="54"/>
      <c r="BYM49" s="54"/>
      <c r="BYN49" s="54"/>
      <c r="BYO49" s="54"/>
      <c r="BYP49" s="54"/>
      <c r="BYQ49" s="54"/>
      <c r="BYR49" s="54"/>
      <c r="BYS49" s="54"/>
      <c r="BYT49" s="54"/>
      <c r="BYU49" s="54"/>
      <c r="BYV49" s="54"/>
      <c r="BYW49" s="54"/>
      <c r="BYX49" s="54"/>
      <c r="BYY49" s="54"/>
      <c r="BYZ49" s="54"/>
      <c r="BZA49" s="54"/>
      <c r="BZB49" s="54"/>
      <c r="BZC49" s="54"/>
      <c r="BZD49" s="54"/>
      <c r="BZE49" s="54"/>
      <c r="BZF49" s="54"/>
      <c r="BZG49" s="54"/>
      <c r="BZH49" s="54"/>
      <c r="BZI49" s="54"/>
      <c r="BZJ49" s="54"/>
      <c r="BZK49" s="54"/>
      <c r="BZL49" s="54"/>
      <c r="BZM49" s="54"/>
      <c r="BZN49" s="54"/>
      <c r="BZO49" s="54"/>
      <c r="BZP49" s="54"/>
      <c r="BZQ49" s="54"/>
      <c r="BZR49" s="54"/>
      <c r="BZS49" s="54"/>
      <c r="BZT49" s="54"/>
      <c r="BZU49" s="54"/>
      <c r="BZV49" s="54"/>
      <c r="BZW49" s="54"/>
      <c r="BZX49" s="54"/>
      <c r="BZY49" s="54"/>
      <c r="BZZ49" s="54"/>
      <c r="CAA49" s="54"/>
      <c r="CAB49" s="54"/>
      <c r="CAC49" s="54"/>
      <c r="CAD49" s="54"/>
      <c r="CAE49" s="54"/>
      <c r="CAF49" s="54"/>
      <c r="CAG49" s="54"/>
      <c r="CAH49" s="54"/>
      <c r="CAI49" s="54"/>
      <c r="CAJ49" s="54"/>
      <c r="CAK49" s="54"/>
      <c r="CAL49" s="54"/>
      <c r="CAM49" s="54"/>
      <c r="CAN49" s="54"/>
      <c r="CAO49" s="54"/>
      <c r="CAP49" s="54"/>
      <c r="CAQ49" s="54"/>
      <c r="CAR49" s="54"/>
      <c r="CAS49" s="54"/>
      <c r="CAT49" s="54"/>
      <c r="CAU49" s="54"/>
      <c r="CAV49" s="54"/>
      <c r="CAW49" s="54"/>
      <c r="CAX49" s="54"/>
      <c r="CAY49" s="54"/>
      <c r="CAZ49" s="54"/>
      <c r="CBA49" s="54"/>
      <c r="CBB49" s="54"/>
      <c r="CBC49" s="54"/>
      <c r="CBD49" s="54"/>
      <c r="CBE49" s="54"/>
      <c r="CBF49" s="54"/>
      <c r="CBG49" s="54"/>
      <c r="CBH49" s="54"/>
      <c r="CBI49" s="54"/>
      <c r="CBJ49" s="54"/>
      <c r="CBK49" s="54"/>
      <c r="CBL49" s="54"/>
      <c r="CBM49" s="54"/>
      <c r="CBN49" s="54"/>
      <c r="CBO49" s="54"/>
      <c r="CBP49" s="54"/>
      <c r="CBQ49" s="54"/>
      <c r="CBR49" s="54"/>
      <c r="CBS49" s="54"/>
      <c r="CBT49" s="54"/>
      <c r="CBU49" s="54"/>
      <c r="CBV49" s="54"/>
      <c r="CBW49" s="54"/>
      <c r="CBX49" s="54"/>
      <c r="CBY49" s="54"/>
      <c r="CBZ49" s="54"/>
      <c r="CCA49" s="54"/>
      <c r="CCB49" s="54"/>
      <c r="CCC49" s="54"/>
      <c r="CCD49" s="54"/>
      <c r="CCE49" s="54"/>
      <c r="CCF49" s="54"/>
      <c r="CCG49" s="54"/>
      <c r="CCH49" s="54"/>
      <c r="CCI49" s="54"/>
      <c r="CCJ49" s="54"/>
      <c r="CCK49" s="54"/>
      <c r="CCL49" s="54"/>
      <c r="CCM49" s="54"/>
      <c r="CCN49" s="54"/>
      <c r="CCO49" s="54"/>
      <c r="CCP49" s="54"/>
      <c r="CCQ49" s="54"/>
      <c r="CCR49" s="54"/>
      <c r="CCS49" s="54"/>
      <c r="CCT49" s="54"/>
      <c r="CCU49" s="54"/>
      <c r="CCV49" s="54"/>
      <c r="CCW49" s="54"/>
      <c r="CCX49" s="54"/>
      <c r="CCY49" s="54"/>
      <c r="CCZ49" s="54"/>
      <c r="CDA49" s="54"/>
      <c r="CDB49" s="54"/>
      <c r="CDC49" s="54"/>
      <c r="CDD49" s="54"/>
      <c r="CDE49" s="54"/>
      <c r="CDF49" s="54"/>
      <c r="CDG49" s="54"/>
      <c r="CDH49" s="54"/>
      <c r="CDI49" s="54"/>
      <c r="CDJ49" s="54"/>
      <c r="CDK49" s="54"/>
      <c r="CDL49" s="54"/>
      <c r="CDM49" s="54"/>
      <c r="CDN49" s="54"/>
      <c r="CDO49" s="54"/>
      <c r="CDP49" s="54"/>
      <c r="CDQ49" s="54"/>
      <c r="CDR49" s="54"/>
      <c r="CDS49" s="54"/>
      <c r="CDT49" s="54"/>
      <c r="CDU49" s="54"/>
      <c r="CDV49" s="54"/>
      <c r="CDW49" s="54"/>
      <c r="CDX49" s="54"/>
      <c r="CDY49" s="54"/>
      <c r="CDZ49" s="54"/>
      <c r="CEA49" s="54"/>
      <c r="CEB49" s="54"/>
      <c r="CEC49" s="54"/>
      <c r="CED49" s="54"/>
      <c r="CEE49" s="54"/>
      <c r="CEF49" s="54"/>
      <c r="CEG49" s="54"/>
      <c r="CEH49" s="54"/>
      <c r="CEI49" s="54"/>
      <c r="CEJ49" s="54"/>
      <c r="CEK49" s="54"/>
      <c r="CEL49" s="54"/>
      <c r="CEM49" s="54"/>
      <c r="CEN49" s="54"/>
      <c r="CEO49" s="54"/>
      <c r="CEP49" s="54"/>
      <c r="CEQ49" s="54"/>
    </row>
    <row r="50" spans="1:2183" s="13" customFormat="1" ht="50.25" customHeight="1" thickTop="1" thickBot="1" x14ac:dyDescent="0.3">
      <c r="A50" s="449" t="s">
        <v>1758</v>
      </c>
      <c r="B50" s="449" t="s">
        <v>1724</v>
      </c>
      <c r="C50" s="449" t="s">
        <v>179</v>
      </c>
      <c r="D50" s="490">
        <v>3</v>
      </c>
      <c r="E50" s="490">
        <v>30</v>
      </c>
      <c r="F50" s="490">
        <v>3</v>
      </c>
      <c r="G50" s="490">
        <v>520</v>
      </c>
      <c r="H50" s="456">
        <v>1520590620</v>
      </c>
      <c r="I50" s="450">
        <v>0</v>
      </c>
      <c r="J50" s="334" t="s">
        <v>1760</v>
      </c>
      <c r="K50" s="491" t="s">
        <v>55</v>
      </c>
      <c r="L50" s="491">
        <v>15</v>
      </c>
      <c r="M50" s="491">
        <v>0</v>
      </c>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c r="GX50" s="54"/>
      <c r="GY50" s="54"/>
      <c r="GZ50" s="54"/>
      <c r="HA50" s="54"/>
      <c r="HB50" s="54"/>
      <c r="HC50" s="54"/>
      <c r="HD50" s="54"/>
      <c r="HE50" s="54"/>
      <c r="HF50" s="54"/>
      <c r="HG50" s="54"/>
      <c r="HH50" s="54"/>
      <c r="HI50" s="54"/>
      <c r="HJ50" s="54"/>
      <c r="HK50" s="54"/>
      <c r="HL50" s="54"/>
      <c r="HM50" s="54"/>
      <c r="HN50" s="54"/>
      <c r="HO50" s="54"/>
      <c r="HP50" s="54"/>
      <c r="HQ50" s="54"/>
      <c r="HR50" s="54"/>
      <c r="HS50" s="54"/>
      <c r="HT50" s="54"/>
      <c r="HU50" s="54"/>
      <c r="HV50" s="54"/>
      <c r="HW50" s="54"/>
      <c r="HX50" s="54"/>
      <c r="HY50" s="54"/>
      <c r="HZ50" s="54"/>
      <c r="IA50" s="54"/>
      <c r="IB50" s="54"/>
      <c r="IC50" s="54"/>
      <c r="ID50" s="54"/>
      <c r="IE50" s="54"/>
      <c r="IF50" s="54"/>
      <c r="IG50" s="54"/>
      <c r="IH50" s="54"/>
      <c r="II50" s="54"/>
      <c r="IJ50" s="54"/>
      <c r="IK50" s="54"/>
      <c r="IL50" s="54"/>
      <c r="IM50" s="54"/>
      <c r="IN50" s="54"/>
      <c r="IO50" s="54"/>
      <c r="IP50" s="54"/>
      <c r="IQ50" s="54"/>
      <c r="IR50" s="54"/>
      <c r="IS50" s="54"/>
      <c r="IT50" s="54"/>
      <c r="IU50" s="54"/>
      <c r="IV50" s="54"/>
      <c r="IW50" s="54"/>
      <c r="IX50" s="54"/>
      <c r="IY50" s="54"/>
      <c r="IZ50" s="54"/>
      <c r="JA50" s="54"/>
      <c r="JB50" s="54"/>
      <c r="JC50" s="54"/>
      <c r="JD50" s="54"/>
      <c r="JE50" s="54"/>
      <c r="JF50" s="54"/>
      <c r="JG50" s="54"/>
      <c r="JH50" s="54"/>
      <c r="JI50" s="54"/>
      <c r="JJ50" s="54"/>
      <c r="JK50" s="54"/>
      <c r="JL50" s="54"/>
      <c r="JM50" s="54"/>
      <c r="JN50" s="54"/>
      <c r="JO50" s="54"/>
      <c r="JP50" s="54"/>
      <c r="JQ50" s="54"/>
      <c r="JR50" s="54"/>
      <c r="JS50" s="54"/>
      <c r="JT50" s="54"/>
      <c r="JU50" s="54"/>
      <c r="JV50" s="54"/>
      <c r="JW50" s="54"/>
      <c r="JX50" s="54"/>
      <c r="JY50" s="54"/>
      <c r="JZ50" s="54"/>
      <c r="KA50" s="54"/>
      <c r="KB50" s="54"/>
      <c r="KC50" s="54"/>
      <c r="KD50" s="54"/>
      <c r="KE50" s="54"/>
      <c r="KF50" s="54"/>
      <c r="KG50" s="54"/>
      <c r="KH50" s="54"/>
      <c r="KI50" s="54"/>
      <c r="KJ50" s="54"/>
      <c r="KK50" s="54"/>
      <c r="KL50" s="54"/>
      <c r="KM50" s="54"/>
      <c r="KN50" s="54"/>
      <c r="KO50" s="54"/>
      <c r="KP50" s="54"/>
      <c r="KQ50" s="54"/>
      <c r="KR50" s="54"/>
      <c r="KS50" s="54"/>
      <c r="KT50" s="54"/>
      <c r="KU50" s="54"/>
      <c r="KV50" s="54"/>
      <c r="KW50" s="54"/>
      <c r="KX50" s="54"/>
      <c r="KY50" s="54"/>
      <c r="KZ50" s="54"/>
      <c r="LA50" s="54"/>
      <c r="LB50" s="54"/>
      <c r="LC50" s="54"/>
      <c r="LD50" s="54"/>
      <c r="LE50" s="54"/>
      <c r="LF50" s="54"/>
      <c r="LG50" s="54"/>
      <c r="LH50" s="54"/>
      <c r="LI50" s="54"/>
      <c r="LJ50" s="54"/>
      <c r="LK50" s="54"/>
      <c r="LL50" s="54"/>
      <c r="LM50" s="54"/>
      <c r="LN50" s="54"/>
      <c r="LO50" s="54"/>
      <c r="LP50" s="54"/>
      <c r="LQ50" s="54"/>
      <c r="LR50" s="54"/>
      <c r="LS50" s="54"/>
      <c r="LT50" s="54"/>
      <c r="LU50" s="54"/>
      <c r="LV50" s="54"/>
      <c r="LW50" s="54"/>
      <c r="LX50" s="54"/>
      <c r="LY50" s="54"/>
      <c r="LZ50" s="54"/>
      <c r="MA50" s="54"/>
      <c r="MB50" s="54"/>
      <c r="MC50" s="54"/>
      <c r="MD50" s="54"/>
      <c r="ME50" s="54"/>
      <c r="MF50" s="54"/>
      <c r="MG50" s="54"/>
      <c r="MH50" s="54"/>
      <c r="MI50" s="54"/>
      <c r="MJ50" s="54"/>
      <c r="MK50" s="54"/>
      <c r="ML50" s="54"/>
      <c r="MM50" s="54"/>
      <c r="MN50" s="54"/>
      <c r="MO50" s="54"/>
      <c r="MP50" s="54"/>
      <c r="MQ50" s="54"/>
      <c r="MR50" s="54"/>
      <c r="MS50" s="54"/>
      <c r="MT50" s="54"/>
      <c r="MU50" s="54"/>
      <c r="MV50" s="54"/>
      <c r="MW50" s="54"/>
      <c r="MX50" s="54"/>
      <c r="MY50" s="54"/>
      <c r="MZ50" s="54"/>
      <c r="NA50" s="54"/>
      <c r="NB50" s="54"/>
      <c r="NC50" s="54"/>
      <c r="ND50" s="54"/>
      <c r="NE50" s="54"/>
      <c r="NF50" s="54"/>
      <c r="NG50" s="54"/>
      <c r="NH50" s="54"/>
      <c r="NI50" s="54"/>
      <c r="NJ50" s="54"/>
      <c r="NK50" s="54"/>
      <c r="NL50" s="54"/>
      <c r="NM50" s="54"/>
      <c r="NN50" s="54"/>
      <c r="NO50" s="54"/>
      <c r="NP50" s="54"/>
      <c r="NQ50" s="54"/>
      <c r="NR50" s="54"/>
      <c r="NS50" s="54"/>
      <c r="NT50" s="54"/>
      <c r="NU50" s="54"/>
      <c r="NV50" s="54"/>
      <c r="NW50" s="54"/>
      <c r="NX50" s="54"/>
      <c r="NY50" s="54"/>
      <c r="NZ50" s="54"/>
      <c r="OA50" s="54"/>
      <c r="OB50" s="54"/>
      <c r="OC50" s="54"/>
      <c r="OD50" s="54"/>
      <c r="OE50" s="54"/>
      <c r="OF50" s="54"/>
      <c r="OG50" s="54"/>
      <c r="OH50" s="54"/>
      <c r="OI50" s="54"/>
      <c r="OJ50" s="54"/>
      <c r="OK50" s="54"/>
      <c r="OL50" s="54"/>
      <c r="OM50" s="54"/>
      <c r="ON50" s="54"/>
      <c r="OO50" s="54"/>
      <c r="OP50" s="54"/>
      <c r="OQ50" s="54"/>
      <c r="OR50" s="54"/>
      <c r="OS50" s="54"/>
      <c r="OT50" s="54"/>
      <c r="OU50" s="54"/>
      <c r="OV50" s="54"/>
      <c r="OW50" s="54"/>
      <c r="OX50" s="54"/>
      <c r="OY50" s="54"/>
      <c r="OZ50" s="54"/>
      <c r="PA50" s="54"/>
      <c r="PB50" s="54"/>
      <c r="PC50" s="54"/>
      <c r="PD50" s="54"/>
      <c r="PE50" s="54"/>
      <c r="PF50" s="54"/>
      <c r="PG50" s="54"/>
      <c r="PH50" s="54"/>
      <c r="PI50" s="54"/>
      <c r="PJ50" s="54"/>
      <c r="PK50" s="54"/>
      <c r="PL50" s="54"/>
      <c r="PM50" s="54"/>
      <c r="PN50" s="54"/>
      <c r="PO50" s="54"/>
      <c r="PP50" s="54"/>
      <c r="PQ50" s="54"/>
      <c r="PR50" s="54"/>
      <c r="PS50" s="54"/>
      <c r="PT50" s="54"/>
      <c r="PU50" s="54"/>
      <c r="PV50" s="54"/>
      <c r="PW50" s="54"/>
      <c r="PX50" s="54"/>
      <c r="PY50" s="54"/>
      <c r="PZ50" s="54"/>
      <c r="QA50" s="54"/>
      <c r="QB50" s="54"/>
      <c r="QC50" s="54"/>
      <c r="QD50" s="54"/>
      <c r="QE50" s="54"/>
      <c r="QF50" s="54"/>
      <c r="QG50" s="54"/>
      <c r="QH50" s="54"/>
      <c r="QI50" s="54"/>
      <c r="QJ50" s="54"/>
      <c r="QK50" s="54"/>
      <c r="QL50" s="54"/>
      <c r="QM50" s="54"/>
      <c r="QN50" s="54"/>
      <c r="QO50" s="54"/>
      <c r="QP50" s="54"/>
      <c r="QQ50" s="54"/>
      <c r="QR50" s="54"/>
      <c r="QS50" s="54"/>
      <c r="QT50" s="54"/>
      <c r="QU50" s="54"/>
      <c r="QV50" s="54"/>
      <c r="QW50" s="54"/>
      <c r="QX50" s="54"/>
      <c r="QY50" s="54"/>
      <c r="QZ50" s="54"/>
      <c r="RA50" s="54"/>
      <c r="RB50" s="54"/>
      <c r="RC50" s="54"/>
      <c r="RD50" s="54"/>
      <c r="RE50" s="54"/>
      <c r="RF50" s="54"/>
      <c r="RG50" s="54"/>
      <c r="RH50" s="54"/>
      <c r="RI50" s="54"/>
      <c r="RJ50" s="54"/>
      <c r="RK50" s="54"/>
      <c r="RL50" s="54"/>
      <c r="RM50" s="54"/>
      <c r="RN50" s="54"/>
      <c r="RO50" s="54"/>
      <c r="RP50" s="54"/>
      <c r="RQ50" s="54"/>
      <c r="RR50" s="54"/>
      <c r="RS50" s="54"/>
      <c r="RT50" s="54"/>
      <c r="RU50" s="54"/>
      <c r="RV50" s="54"/>
      <c r="RW50" s="54"/>
      <c r="RX50" s="54"/>
      <c r="RY50" s="54"/>
      <c r="RZ50" s="54"/>
      <c r="SA50" s="54"/>
      <c r="SB50" s="54"/>
      <c r="SC50" s="54"/>
      <c r="SD50" s="54"/>
      <c r="SE50" s="54"/>
      <c r="SF50" s="54"/>
      <c r="SG50" s="54"/>
      <c r="SH50" s="54"/>
      <c r="SI50" s="54"/>
      <c r="SJ50" s="54"/>
      <c r="SK50" s="54"/>
      <c r="SL50" s="54"/>
      <c r="SM50" s="54"/>
      <c r="SN50" s="54"/>
      <c r="SO50" s="54"/>
      <c r="SP50" s="54"/>
      <c r="SQ50" s="54"/>
      <c r="SR50" s="54"/>
      <c r="SS50" s="54"/>
      <c r="ST50" s="54"/>
      <c r="SU50" s="54"/>
      <c r="SV50" s="54"/>
      <c r="SW50" s="54"/>
      <c r="SX50" s="54"/>
      <c r="SY50" s="54"/>
      <c r="SZ50" s="54"/>
      <c r="TA50" s="54"/>
      <c r="TB50" s="54"/>
      <c r="TC50" s="54"/>
      <c r="TD50" s="54"/>
      <c r="TE50" s="54"/>
      <c r="TF50" s="54"/>
      <c r="TG50" s="54"/>
      <c r="TH50" s="54"/>
      <c r="TI50" s="54"/>
      <c r="TJ50" s="54"/>
      <c r="TK50" s="54"/>
      <c r="TL50" s="54"/>
      <c r="TM50" s="54"/>
      <c r="TN50" s="54"/>
      <c r="TO50" s="54"/>
      <c r="TP50" s="54"/>
      <c r="TQ50" s="54"/>
      <c r="TR50" s="54"/>
      <c r="TS50" s="54"/>
      <c r="TT50" s="54"/>
      <c r="TU50" s="54"/>
      <c r="TV50" s="54"/>
      <c r="TW50" s="54"/>
      <c r="TX50" s="54"/>
      <c r="TY50" s="54"/>
      <c r="TZ50" s="54"/>
      <c r="UA50" s="54"/>
      <c r="UB50" s="54"/>
      <c r="UC50" s="54"/>
      <c r="UD50" s="54"/>
      <c r="UE50" s="54"/>
      <c r="UF50" s="54"/>
      <c r="UG50" s="54"/>
      <c r="UH50" s="54"/>
      <c r="UI50" s="54"/>
      <c r="UJ50" s="54"/>
      <c r="UK50" s="54"/>
      <c r="UL50" s="54"/>
      <c r="UM50" s="54"/>
      <c r="UN50" s="54"/>
      <c r="UO50" s="54"/>
      <c r="UP50" s="54"/>
      <c r="UQ50" s="54"/>
      <c r="UR50" s="54"/>
      <c r="US50" s="54"/>
      <c r="UT50" s="54"/>
      <c r="UU50" s="54"/>
      <c r="UV50" s="54"/>
      <c r="UW50" s="54"/>
      <c r="UX50" s="54"/>
      <c r="UY50" s="54"/>
      <c r="UZ50" s="54"/>
      <c r="VA50" s="54"/>
      <c r="VB50" s="54"/>
      <c r="VC50" s="54"/>
      <c r="VD50" s="54"/>
      <c r="VE50" s="54"/>
      <c r="VF50" s="54"/>
      <c r="VG50" s="54"/>
      <c r="VH50" s="54"/>
      <c r="VI50" s="54"/>
      <c r="VJ50" s="54"/>
      <c r="VK50" s="54"/>
      <c r="VL50" s="54"/>
      <c r="VM50" s="54"/>
      <c r="VN50" s="54"/>
      <c r="VO50" s="54"/>
      <c r="VP50" s="54"/>
      <c r="VQ50" s="54"/>
      <c r="VR50" s="54"/>
      <c r="VS50" s="54"/>
      <c r="VT50" s="54"/>
      <c r="VU50" s="54"/>
      <c r="VV50" s="54"/>
      <c r="VW50" s="54"/>
      <c r="VX50" s="54"/>
      <c r="VY50" s="54"/>
      <c r="VZ50" s="54"/>
      <c r="WA50" s="54"/>
      <c r="WB50" s="54"/>
      <c r="WC50" s="54"/>
      <c r="WD50" s="54"/>
      <c r="WE50" s="54"/>
      <c r="WF50" s="54"/>
      <c r="WG50" s="54"/>
      <c r="WH50" s="54"/>
      <c r="WI50" s="54"/>
      <c r="WJ50" s="54"/>
      <c r="WK50" s="54"/>
      <c r="WL50" s="54"/>
      <c r="WM50" s="54"/>
      <c r="WN50" s="54"/>
      <c r="WO50" s="54"/>
      <c r="WP50" s="54"/>
      <c r="WQ50" s="54"/>
      <c r="WR50" s="54"/>
      <c r="WS50" s="54"/>
      <c r="WT50" s="54"/>
      <c r="WU50" s="54"/>
      <c r="WV50" s="54"/>
      <c r="WW50" s="54"/>
      <c r="WX50" s="54"/>
      <c r="WY50" s="54"/>
      <c r="WZ50" s="54"/>
      <c r="XA50" s="54"/>
      <c r="XB50" s="54"/>
      <c r="XC50" s="54"/>
      <c r="XD50" s="54"/>
      <c r="XE50" s="54"/>
      <c r="XF50" s="54"/>
      <c r="XG50" s="54"/>
      <c r="XH50" s="54"/>
      <c r="XI50" s="54"/>
      <c r="XJ50" s="54"/>
      <c r="XK50" s="54"/>
      <c r="XL50" s="54"/>
      <c r="XM50" s="54"/>
      <c r="XN50" s="54"/>
      <c r="XO50" s="54"/>
      <c r="XP50" s="54"/>
      <c r="XQ50" s="54"/>
      <c r="XR50" s="54"/>
      <c r="XS50" s="54"/>
      <c r="XT50" s="54"/>
      <c r="XU50" s="54"/>
      <c r="XV50" s="54"/>
      <c r="XW50" s="54"/>
      <c r="XX50" s="54"/>
      <c r="XY50" s="54"/>
      <c r="XZ50" s="54"/>
      <c r="YA50" s="54"/>
      <c r="YB50" s="54"/>
      <c r="YC50" s="54"/>
      <c r="YD50" s="54"/>
      <c r="YE50" s="54"/>
      <c r="YF50" s="54"/>
      <c r="YG50" s="54"/>
      <c r="YH50" s="54"/>
      <c r="YI50" s="54"/>
      <c r="YJ50" s="54"/>
      <c r="YK50" s="54"/>
      <c r="YL50" s="54"/>
      <c r="YM50" s="54"/>
      <c r="YN50" s="54"/>
      <c r="YO50" s="54"/>
      <c r="YP50" s="54"/>
      <c r="YQ50" s="54"/>
      <c r="YR50" s="54"/>
      <c r="YS50" s="54"/>
      <c r="YT50" s="54"/>
      <c r="YU50" s="54"/>
      <c r="YV50" s="54"/>
      <c r="YW50" s="54"/>
      <c r="YX50" s="54"/>
      <c r="YY50" s="54"/>
      <c r="YZ50" s="54"/>
      <c r="ZA50" s="54"/>
      <c r="ZB50" s="54"/>
      <c r="ZC50" s="54"/>
      <c r="ZD50" s="54"/>
      <c r="ZE50" s="54"/>
      <c r="ZF50" s="54"/>
      <c r="ZG50" s="54"/>
      <c r="ZH50" s="54"/>
      <c r="ZI50" s="54"/>
      <c r="ZJ50" s="54"/>
      <c r="ZK50" s="54"/>
      <c r="ZL50" s="54"/>
      <c r="ZM50" s="54"/>
      <c r="ZN50" s="54"/>
      <c r="ZO50" s="54"/>
      <c r="ZP50" s="54"/>
      <c r="ZQ50" s="54"/>
      <c r="ZR50" s="54"/>
      <c r="ZS50" s="54"/>
      <c r="ZT50" s="54"/>
      <c r="ZU50" s="54"/>
      <c r="ZV50" s="54"/>
      <c r="ZW50" s="54"/>
      <c r="ZX50" s="54"/>
      <c r="ZY50" s="54"/>
      <c r="ZZ50" s="54"/>
      <c r="AAA50" s="54"/>
      <c r="AAB50" s="54"/>
      <c r="AAC50" s="54"/>
      <c r="AAD50" s="54"/>
      <c r="AAE50" s="54"/>
      <c r="AAF50" s="54"/>
      <c r="AAG50" s="54"/>
      <c r="AAH50" s="54"/>
      <c r="AAI50" s="54"/>
      <c r="AAJ50" s="54"/>
      <c r="AAK50" s="54"/>
      <c r="AAL50" s="54"/>
      <c r="AAM50" s="54"/>
      <c r="AAN50" s="54"/>
      <c r="AAO50" s="54"/>
      <c r="AAP50" s="54"/>
      <c r="AAQ50" s="54"/>
      <c r="AAR50" s="54"/>
      <c r="AAS50" s="54"/>
      <c r="AAT50" s="54"/>
      <c r="AAU50" s="54"/>
      <c r="AAV50" s="54"/>
      <c r="AAW50" s="54"/>
      <c r="AAX50" s="54"/>
      <c r="AAY50" s="54"/>
      <c r="AAZ50" s="54"/>
      <c r="ABA50" s="54"/>
      <c r="ABB50" s="54"/>
      <c r="ABC50" s="54"/>
      <c r="ABD50" s="54"/>
      <c r="ABE50" s="54"/>
      <c r="ABF50" s="54"/>
      <c r="ABG50" s="54"/>
      <c r="ABH50" s="54"/>
      <c r="ABI50" s="54"/>
      <c r="ABJ50" s="54"/>
      <c r="ABK50" s="54"/>
      <c r="ABL50" s="54"/>
      <c r="ABM50" s="54"/>
      <c r="ABN50" s="54"/>
      <c r="ABO50" s="54"/>
      <c r="ABP50" s="54"/>
      <c r="ABQ50" s="54"/>
      <c r="ABR50" s="54"/>
      <c r="ABS50" s="54"/>
      <c r="ABT50" s="54"/>
      <c r="ABU50" s="54"/>
      <c r="ABV50" s="54"/>
      <c r="ABW50" s="54"/>
      <c r="ABX50" s="54"/>
      <c r="ABY50" s="54"/>
      <c r="ABZ50" s="54"/>
      <c r="ACA50" s="54"/>
      <c r="ACB50" s="54"/>
      <c r="ACC50" s="54"/>
      <c r="ACD50" s="54"/>
      <c r="ACE50" s="54"/>
      <c r="ACF50" s="54"/>
      <c r="ACG50" s="54"/>
      <c r="ACH50" s="54"/>
      <c r="ACI50" s="54"/>
      <c r="ACJ50" s="54"/>
      <c r="ACK50" s="54"/>
      <c r="ACL50" s="54"/>
      <c r="ACM50" s="54"/>
      <c r="ACN50" s="54"/>
      <c r="ACO50" s="54"/>
      <c r="ACP50" s="54"/>
      <c r="ACQ50" s="54"/>
      <c r="ACR50" s="54"/>
      <c r="ACS50" s="54"/>
      <c r="ACT50" s="54"/>
      <c r="ACU50" s="54"/>
      <c r="ACV50" s="54"/>
      <c r="ACW50" s="54"/>
      <c r="ACX50" s="54"/>
      <c r="ACY50" s="54"/>
      <c r="ACZ50" s="54"/>
      <c r="ADA50" s="54"/>
      <c r="ADB50" s="54"/>
      <c r="ADC50" s="54"/>
      <c r="ADD50" s="54"/>
      <c r="ADE50" s="54"/>
      <c r="ADF50" s="54"/>
      <c r="ADG50" s="54"/>
      <c r="ADH50" s="54"/>
      <c r="ADI50" s="54"/>
      <c r="ADJ50" s="54"/>
      <c r="ADK50" s="54"/>
      <c r="ADL50" s="54"/>
      <c r="ADM50" s="54"/>
      <c r="ADN50" s="54"/>
      <c r="ADO50" s="54"/>
      <c r="ADP50" s="54"/>
      <c r="ADQ50" s="54"/>
      <c r="ADR50" s="54"/>
      <c r="ADS50" s="54"/>
      <c r="ADT50" s="54"/>
      <c r="ADU50" s="54"/>
      <c r="ADV50" s="54"/>
      <c r="ADW50" s="54"/>
      <c r="ADX50" s="54"/>
      <c r="ADY50" s="54"/>
      <c r="ADZ50" s="54"/>
      <c r="AEA50" s="54"/>
      <c r="AEB50" s="54"/>
      <c r="AEC50" s="54"/>
      <c r="AED50" s="54"/>
      <c r="AEE50" s="54"/>
      <c r="AEF50" s="54"/>
      <c r="AEG50" s="54"/>
      <c r="AEH50" s="54"/>
      <c r="AEI50" s="54"/>
      <c r="AEJ50" s="54"/>
      <c r="AEK50" s="54"/>
      <c r="AEL50" s="54"/>
      <c r="AEM50" s="54"/>
      <c r="AEN50" s="54"/>
      <c r="AEO50" s="54"/>
      <c r="AEP50" s="54"/>
      <c r="AEQ50" s="54"/>
      <c r="AER50" s="54"/>
      <c r="AES50" s="54"/>
      <c r="AET50" s="54"/>
      <c r="AEU50" s="54"/>
      <c r="AEV50" s="54"/>
      <c r="AEW50" s="54"/>
      <c r="AEX50" s="54"/>
      <c r="AEY50" s="54"/>
      <c r="AEZ50" s="54"/>
      <c r="AFA50" s="54"/>
      <c r="AFB50" s="54"/>
      <c r="AFC50" s="54"/>
      <c r="AFD50" s="54"/>
      <c r="AFE50" s="54"/>
      <c r="AFF50" s="54"/>
      <c r="AFG50" s="54"/>
      <c r="AFH50" s="54"/>
      <c r="AFI50" s="54"/>
      <c r="AFJ50" s="54"/>
      <c r="AFK50" s="54"/>
      <c r="AFL50" s="54"/>
      <c r="AFM50" s="54"/>
      <c r="AFN50" s="54"/>
      <c r="AFO50" s="54"/>
      <c r="AFP50" s="54"/>
      <c r="AFQ50" s="54"/>
      <c r="AFR50" s="54"/>
      <c r="AFS50" s="54"/>
      <c r="AFT50" s="54"/>
      <c r="AFU50" s="54"/>
      <c r="AFV50" s="54"/>
      <c r="AFW50" s="54"/>
      <c r="AFX50" s="54"/>
      <c r="AFY50" s="54"/>
      <c r="AFZ50" s="54"/>
      <c r="AGA50" s="54"/>
      <c r="AGB50" s="54"/>
      <c r="AGC50" s="54"/>
      <c r="AGD50" s="54"/>
      <c r="AGE50" s="54"/>
      <c r="AGF50" s="54"/>
      <c r="AGG50" s="54"/>
      <c r="AGH50" s="54"/>
      <c r="AGI50" s="54"/>
      <c r="AGJ50" s="54"/>
      <c r="AGK50" s="54"/>
      <c r="AGL50" s="54"/>
      <c r="AGM50" s="54"/>
      <c r="AGN50" s="54"/>
      <c r="AGO50" s="54"/>
      <c r="AGP50" s="54"/>
      <c r="AGQ50" s="54"/>
      <c r="AGR50" s="54"/>
      <c r="AGS50" s="54"/>
      <c r="AGT50" s="54"/>
      <c r="AGU50" s="54"/>
      <c r="AGV50" s="54"/>
      <c r="AGW50" s="54"/>
      <c r="AGX50" s="54"/>
      <c r="AGY50" s="54"/>
      <c r="AGZ50" s="54"/>
      <c r="AHA50" s="54"/>
      <c r="AHB50" s="54"/>
      <c r="AHC50" s="54"/>
      <c r="AHD50" s="54"/>
      <c r="AHE50" s="54"/>
      <c r="AHF50" s="54"/>
      <c r="AHG50" s="54"/>
      <c r="AHH50" s="54"/>
      <c r="AHI50" s="54"/>
      <c r="AHJ50" s="54"/>
      <c r="AHK50" s="54"/>
      <c r="AHL50" s="54"/>
      <c r="AHM50" s="54"/>
      <c r="AHN50" s="54"/>
      <c r="AHO50" s="54"/>
      <c r="AHP50" s="54"/>
      <c r="AHQ50" s="54"/>
      <c r="AHR50" s="54"/>
      <c r="AHS50" s="54"/>
      <c r="AHT50" s="54"/>
      <c r="AHU50" s="54"/>
      <c r="AHV50" s="54"/>
      <c r="AHW50" s="54"/>
      <c r="AHX50" s="54"/>
      <c r="AHY50" s="54"/>
      <c r="AHZ50" s="54"/>
      <c r="AIA50" s="54"/>
      <c r="AIB50" s="54"/>
      <c r="AIC50" s="54"/>
      <c r="AID50" s="54"/>
      <c r="AIE50" s="54"/>
      <c r="AIF50" s="54"/>
      <c r="AIG50" s="54"/>
      <c r="AIH50" s="54"/>
      <c r="AII50" s="54"/>
      <c r="AIJ50" s="54"/>
      <c r="AIK50" s="54"/>
      <c r="AIL50" s="54"/>
      <c r="AIM50" s="54"/>
      <c r="AIN50" s="54"/>
      <c r="AIO50" s="54"/>
      <c r="AIP50" s="54"/>
      <c r="AIQ50" s="54"/>
      <c r="AIR50" s="54"/>
      <c r="AIS50" s="54"/>
      <c r="AIT50" s="54"/>
      <c r="AIU50" s="54"/>
      <c r="AIV50" s="54"/>
      <c r="AIW50" s="54"/>
      <c r="AIX50" s="54"/>
      <c r="AIY50" s="54"/>
      <c r="AIZ50" s="54"/>
      <c r="AJA50" s="54"/>
      <c r="AJB50" s="54"/>
      <c r="AJC50" s="54"/>
      <c r="AJD50" s="54"/>
      <c r="AJE50" s="54"/>
      <c r="AJF50" s="54"/>
      <c r="AJG50" s="54"/>
      <c r="AJH50" s="54"/>
      <c r="AJI50" s="54"/>
      <c r="AJJ50" s="54"/>
      <c r="AJK50" s="54"/>
      <c r="AJL50" s="54"/>
      <c r="AJM50" s="54"/>
      <c r="AJN50" s="54"/>
      <c r="AJO50" s="54"/>
      <c r="AJP50" s="54"/>
      <c r="AJQ50" s="54"/>
      <c r="AJR50" s="54"/>
      <c r="AJS50" s="54"/>
      <c r="AJT50" s="54"/>
      <c r="AJU50" s="54"/>
      <c r="AJV50" s="54"/>
      <c r="AJW50" s="54"/>
      <c r="AJX50" s="54"/>
      <c r="AJY50" s="54"/>
      <c r="AJZ50" s="54"/>
      <c r="AKA50" s="54"/>
      <c r="AKB50" s="54"/>
      <c r="AKC50" s="54"/>
      <c r="AKD50" s="54"/>
      <c r="AKE50" s="54"/>
      <c r="AKF50" s="54"/>
      <c r="AKG50" s="54"/>
      <c r="AKH50" s="54"/>
      <c r="AKI50" s="54"/>
      <c r="AKJ50" s="54"/>
      <c r="AKK50" s="54"/>
      <c r="AKL50" s="54"/>
      <c r="AKM50" s="54"/>
      <c r="AKN50" s="54"/>
      <c r="AKO50" s="54"/>
      <c r="AKP50" s="54"/>
      <c r="AKQ50" s="54"/>
      <c r="AKR50" s="54"/>
      <c r="AKS50" s="54"/>
      <c r="AKT50" s="54"/>
      <c r="AKU50" s="54"/>
      <c r="AKV50" s="54"/>
      <c r="AKW50" s="54"/>
      <c r="AKX50" s="54"/>
      <c r="AKY50" s="54"/>
      <c r="AKZ50" s="54"/>
      <c r="ALA50" s="54"/>
      <c r="ALB50" s="54"/>
      <c r="ALC50" s="54"/>
      <c r="ALD50" s="54"/>
      <c r="ALE50" s="54"/>
      <c r="ALF50" s="54"/>
      <c r="ALG50" s="54"/>
      <c r="ALH50" s="54"/>
      <c r="ALI50" s="54"/>
      <c r="ALJ50" s="54"/>
      <c r="ALK50" s="54"/>
      <c r="ALL50" s="54"/>
      <c r="ALM50" s="54"/>
      <c r="ALN50" s="54"/>
      <c r="ALO50" s="54"/>
      <c r="ALP50" s="54"/>
      <c r="ALQ50" s="54"/>
      <c r="ALR50" s="54"/>
      <c r="ALS50" s="54"/>
      <c r="ALT50" s="54"/>
      <c r="ALU50" s="54"/>
      <c r="ALV50" s="54"/>
      <c r="ALW50" s="54"/>
      <c r="ALX50" s="54"/>
      <c r="ALY50" s="54"/>
      <c r="ALZ50" s="54"/>
      <c r="AMA50" s="54"/>
      <c r="AMB50" s="54"/>
      <c r="AMC50" s="54"/>
      <c r="AMD50" s="54"/>
      <c r="AME50" s="54"/>
      <c r="AMF50" s="54"/>
      <c r="AMG50" s="54"/>
      <c r="AMH50" s="54"/>
      <c r="AMI50" s="54"/>
      <c r="AMJ50" s="54"/>
      <c r="AMK50" s="54"/>
      <c r="AML50" s="54"/>
      <c r="AMM50" s="54"/>
      <c r="AMN50" s="54"/>
      <c r="AMO50" s="54"/>
      <c r="AMP50" s="54"/>
      <c r="AMQ50" s="54"/>
      <c r="AMR50" s="54"/>
      <c r="AMS50" s="54"/>
      <c r="AMT50" s="54"/>
      <c r="AMU50" s="54"/>
      <c r="AMV50" s="54"/>
      <c r="AMW50" s="54"/>
      <c r="AMX50" s="54"/>
      <c r="AMY50" s="54"/>
      <c r="AMZ50" s="54"/>
      <c r="ANA50" s="54"/>
      <c r="ANB50" s="54"/>
      <c r="ANC50" s="54"/>
      <c r="AND50" s="54"/>
      <c r="ANE50" s="54"/>
      <c r="ANF50" s="54"/>
      <c r="ANG50" s="54"/>
      <c r="ANH50" s="54"/>
      <c r="ANI50" s="54"/>
      <c r="ANJ50" s="54"/>
      <c r="ANK50" s="54"/>
      <c r="ANL50" s="54"/>
      <c r="ANM50" s="54"/>
      <c r="ANN50" s="54"/>
      <c r="ANO50" s="54"/>
      <c r="ANP50" s="54"/>
      <c r="ANQ50" s="54"/>
      <c r="ANR50" s="54"/>
      <c r="ANS50" s="54"/>
      <c r="ANT50" s="54"/>
      <c r="ANU50" s="54"/>
      <c r="ANV50" s="54"/>
      <c r="ANW50" s="54"/>
      <c r="ANX50" s="54"/>
      <c r="ANY50" s="54"/>
      <c r="ANZ50" s="54"/>
      <c r="AOA50" s="54"/>
      <c r="AOB50" s="54"/>
      <c r="AOC50" s="54"/>
      <c r="AOD50" s="54"/>
      <c r="AOE50" s="54"/>
      <c r="AOF50" s="54"/>
      <c r="AOG50" s="54"/>
      <c r="AOH50" s="54"/>
      <c r="AOI50" s="54"/>
      <c r="AOJ50" s="54"/>
      <c r="AOK50" s="54"/>
      <c r="AOL50" s="54"/>
      <c r="AOM50" s="54"/>
      <c r="AON50" s="54"/>
      <c r="AOO50" s="54"/>
      <c r="AOP50" s="54"/>
      <c r="AOQ50" s="54"/>
      <c r="AOR50" s="54"/>
      <c r="AOS50" s="54"/>
      <c r="AOT50" s="54"/>
      <c r="AOU50" s="54"/>
      <c r="AOV50" s="54"/>
      <c r="AOW50" s="54"/>
      <c r="AOX50" s="54"/>
      <c r="AOY50" s="54"/>
      <c r="AOZ50" s="54"/>
      <c r="APA50" s="54"/>
      <c r="APB50" s="54"/>
      <c r="APC50" s="54"/>
      <c r="APD50" s="54"/>
      <c r="APE50" s="54"/>
      <c r="APF50" s="54"/>
      <c r="APG50" s="54"/>
      <c r="APH50" s="54"/>
      <c r="API50" s="54"/>
      <c r="APJ50" s="54"/>
      <c r="APK50" s="54"/>
      <c r="APL50" s="54"/>
      <c r="APM50" s="54"/>
      <c r="APN50" s="54"/>
      <c r="APO50" s="54"/>
      <c r="APP50" s="54"/>
      <c r="APQ50" s="54"/>
      <c r="APR50" s="54"/>
      <c r="APS50" s="54"/>
      <c r="APT50" s="54"/>
      <c r="APU50" s="54"/>
      <c r="APV50" s="54"/>
      <c r="APW50" s="54"/>
      <c r="APX50" s="54"/>
      <c r="APY50" s="54"/>
      <c r="APZ50" s="54"/>
      <c r="AQA50" s="54"/>
      <c r="AQB50" s="54"/>
      <c r="AQC50" s="54"/>
      <c r="AQD50" s="54"/>
      <c r="AQE50" s="54"/>
      <c r="AQF50" s="54"/>
      <c r="AQG50" s="54"/>
      <c r="AQH50" s="54"/>
      <c r="AQI50" s="54"/>
      <c r="AQJ50" s="54"/>
      <c r="AQK50" s="54"/>
      <c r="AQL50" s="54"/>
      <c r="AQM50" s="54"/>
      <c r="AQN50" s="54"/>
      <c r="AQO50" s="54"/>
      <c r="AQP50" s="54"/>
      <c r="AQQ50" s="54"/>
      <c r="AQR50" s="54"/>
      <c r="AQS50" s="54"/>
      <c r="AQT50" s="54"/>
      <c r="AQU50" s="54"/>
      <c r="AQV50" s="54"/>
      <c r="AQW50" s="54"/>
      <c r="AQX50" s="54"/>
      <c r="AQY50" s="54"/>
      <c r="AQZ50" s="54"/>
      <c r="ARA50" s="54"/>
      <c r="ARB50" s="54"/>
      <c r="ARC50" s="54"/>
      <c r="ARD50" s="54"/>
      <c r="ARE50" s="54"/>
      <c r="ARF50" s="54"/>
      <c r="ARG50" s="54"/>
      <c r="ARH50" s="54"/>
      <c r="ARI50" s="54"/>
      <c r="ARJ50" s="54"/>
      <c r="ARK50" s="54"/>
      <c r="ARL50" s="54"/>
      <c r="ARM50" s="54"/>
      <c r="ARN50" s="54"/>
      <c r="ARO50" s="54"/>
      <c r="ARP50" s="54"/>
      <c r="ARQ50" s="54"/>
      <c r="ARR50" s="54"/>
      <c r="ARS50" s="54"/>
      <c r="ART50" s="54"/>
      <c r="ARU50" s="54"/>
      <c r="ARV50" s="54"/>
      <c r="ARW50" s="54"/>
      <c r="ARX50" s="54"/>
      <c r="ARY50" s="54"/>
      <c r="ARZ50" s="54"/>
      <c r="ASA50" s="54"/>
      <c r="ASB50" s="54"/>
      <c r="ASC50" s="54"/>
      <c r="ASD50" s="54"/>
      <c r="ASE50" s="54"/>
      <c r="ASF50" s="54"/>
      <c r="ASG50" s="54"/>
      <c r="ASH50" s="54"/>
      <c r="ASI50" s="54"/>
      <c r="ASJ50" s="54"/>
      <c r="ASK50" s="54"/>
      <c r="ASL50" s="54"/>
      <c r="ASM50" s="54"/>
      <c r="ASN50" s="54"/>
      <c r="ASO50" s="54"/>
      <c r="ASP50" s="54"/>
      <c r="ASQ50" s="54"/>
      <c r="ASR50" s="54"/>
      <c r="ASS50" s="54"/>
      <c r="AST50" s="54"/>
      <c r="ASU50" s="54"/>
      <c r="ASV50" s="54"/>
      <c r="ASW50" s="54"/>
      <c r="ASX50" s="54"/>
      <c r="ASY50" s="54"/>
      <c r="ASZ50" s="54"/>
      <c r="ATA50" s="54"/>
      <c r="ATB50" s="54"/>
      <c r="ATC50" s="54"/>
      <c r="ATD50" s="54"/>
      <c r="ATE50" s="54"/>
      <c r="ATF50" s="54"/>
      <c r="ATG50" s="54"/>
      <c r="ATH50" s="54"/>
      <c r="ATI50" s="54"/>
      <c r="ATJ50" s="54"/>
      <c r="ATK50" s="54"/>
      <c r="ATL50" s="54"/>
      <c r="ATM50" s="54"/>
      <c r="ATN50" s="54"/>
      <c r="ATO50" s="54"/>
      <c r="ATP50" s="54"/>
      <c r="ATQ50" s="54"/>
      <c r="ATR50" s="54"/>
      <c r="ATS50" s="54"/>
      <c r="ATT50" s="54"/>
      <c r="ATU50" s="54"/>
      <c r="ATV50" s="54"/>
      <c r="ATW50" s="54"/>
      <c r="ATX50" s="54"/>
      <c r="ATY50" s="54"/>
      <c r="ATZ50" s="54"/>
      <c r="AUA50" s="54"/>
      <c r="AUB50" s="54"/>
      <c r="AUC50" s="54"/>
      <c r="AUD50" s="54"/>
      <c r="AUE50" s="54"/>
      <c r="AUF50" s="54"/>
      <c r="AUG50" s="54"/>
      <c r="AUH50" s="54"/>
      <c r="AUI50" s="54"/>
      <c r="AUJ50" s="54"/>
      <c r="AUK50" s="54"/>
      <c r="AUL50" s="54"/>
      <c r="AUM50" s="54"/>
      <c r="AUN50" s="54"/>
      <c r="AUO50" s="54"/>
      <c r="AUP50" s="54"/>
      <c r="AUQ50" s="54"/>
      <c r="AUR50" s="54"/>
      <c r="AUS50" s="54"/>
      <c r="AUT50" s="54"/>
      <c r="AUU50" s="54"/>
      <c r="AUV50" s="54"/>
      <c r="AUW50" s="54"/>
      <c r="AUX50" s="54"/>
      <c r="AUY50" s="54"/>
      <c r="AUZ50" s="54"/>
      <c r="AVA50" s="54"/>
      <c r="AVB50" s="54"/>
      <c r="AVC50" s="54"/>
      <c r="AVD50" s="54"/>
      <c r="AVE50" s="54"/>
      <c r="AVF50" s="54"/>
      <c r="AVG50" s="54"/>
      <c r="AVH50" s="54"/>
      <c r="AVI50" s="54"/>
      <c r="AVJ50" s="54"/>
      <c r="AVK50" s="54"/>
      <c r="AVL50" s="54"/>
      <c r="AVM50" s="54"/>
      <c r="AVN50" s="54"/>
      <c r="AVO50" s="54"/>
      <c r="AVP50" s="54"/>
      <c r="AVQ50" s="54"/>
      <c r="AVR50" s="54"/>
      <c r="AVS50" s="54"/>
      <c r="AVT50" s="54"/>
      <c r="AVU50" s="54"/>
      <c r="AVV50" s="54"/>
      <c r="AVW50" s="54"/>
      <c r="AVX50" s="54"/>
      <c r="AVY50" s="54"/>
      <c r="AVZ50" s="54"/>
      <c r="AWA50" s="54"/>
      <c r="AWB50" s="54"/>
      <c r="AWC50" s="54"/>
      <c r="AWD50" s="54"/>
      <c r="AWE50" s="54"/>
      <c r="AWF50" s="54"/>
      <c r="AWG50" s="54"/>
      <c r="AWH50" s="54"/>
      <c r="AWI50" s="54"/>
      <c r="AWJ50" s="54"/>
      <c r="AWK50" s="54"/>
      <c r="AWL50" s="54"/>
      <c r="AWM50" s="54"/>
      <c r="AWN50" s="54"/>
      <c r="AWO50" s="54"/>
      <c r="AWP50" s="54"/>
      <c r="AWQ50" s="54"/>
      <c r="AWR50" s="54"/>
      <c r="AWS50" s="54"/>
      <c r="AWT50" s="54"/>
      <c r="AWU50" s="54"/>
      <c r="AWV50" s="54"/>
      <c r="AWW50" s="54"/>
      <c r="AWX50" s="54"/>
      <c r="AWY50" s="54"/>
      <c r="AWZ50" s="54"/>
      <c r="AXA50" s="54"/>
      <c r="AXB50" s="54"/>
      <c r="AXC50" s="54"/>
      <c r="AXD50" s="54"/>
      <c r="AXE50" s="54"/>
      <c r="AXF50" s="54"/>
      <c r="AXG50" s="54"/>
      <c r="AXH50" s="54"/>
      <c r="AXI50" s="54"/>
      <c r="AXJ50" s="54"/>
      <c r="AXK50" s="54"/>
      <c r="AXL50" s="54"/>
      <c r="AXM50" s="54"/>
      <c r="AXN50" s="54"/>
      <c r="AXO50" s="54"/>
      <c r="AXP50" s="54"/>
      <c r="AXQ50" s="54"/>
      <c r="AXR50" s="54"/>
      <c r="AXS50" s="54"/>
      <c r="AXT50" s="54"/>
      <c r="AXU50" s="54"/>
      <c r="AXV50" s="54"/>
      <c r="AXW50" s="54"/>
      <c r="AXX50" s="54"/>
      <c r="AXY50" s="54"/>
      <c r="AXZ50" s="54"/>
      <c r="AYA50" s="54"/>
      <c r="AYB50" s="54"/>
      <c r="AYC50" s="54"/>
      <c r="AYD50" s="54"/>
      <c r="AYE50" s="54"/>
      <c r="AYF50" s="54"/>
      <c r="AYG50" s="54"/>
      <c r="AYH50" s="54"/>
      <c r="AYI50" s="54"/>
      <c r="AYJ50" s="54"/>
      <c r="AYK50" s="54"/>
      <c r="AYL50" s="54"/>
      <c r="AYM50" s="54"/>
      <c r="AYN50" s="54"/>
      <c r="AYO50" s="54"/>
      <c r="AYP50" s="54"/>
      <c r="AYQ50" s="54"/>
      <c r="AYR50" s="54"/>
      <c r="AYS50" s="54"/>
      <c r="AYT50" s="54"/>
      <c r="AYU50" s="54"/>
      <c r="AYV50" s="54"/>
      <c r="AYW50" s="54"/>
      <c r="AYX50" s="54"/>
      <c r="AYY50" s="54"/>
      <c r="AYZ50" s="54"/>
      <c r="AZA50" s="54"/>
      <c r="AZB50" s="54"/>
      <c r="AZC50" s="54"/>
      <c r="AZD50" s="54"/>
      <c r="AZE50" s="54"/>
      <c r="AZF50" s="54"/>
      <c r="AZG50" s="54"/>
      <c r="AZH50" s="54"/>
      <c r="AZI50" s="54"/>
      <c r="AZJ50" s="54"/>
      <c r="AZK50" s="54"/>
      <c r="AZL50" s="54"/>
      <c r="AZM50" s="54"/>
      <c r="AZN50" s="54"/>
      <c r="AZO50" s="54"/>
      <c r="AZP50" s="54"/>
      <c r="AZQ50" s="54"/>
      <c r="AZR50" s="54"/>
      <c r="AZS50" s="54"/>
      <c r="AZT50" s="54"/>
      <c r="AZU50" s="54"/>
      <c r="AZV50" s="54"/>
      <c r="AZW50" s="54"/>
      <c r="AZX50" s="54"/>
      <c r="AZY50" s="54"/>
      <c r="AZZ50" s="54"/>
      <c r="BAA50" s="54"/>
      <c r="BAB50" s="54"/>
      <c r="BAC50" s="54"/>
      <c r="BAD50" s="54"/>
      <c r="BAE50" s="54"/>
      <c r="BAF50" s="54"/>
      <c r="BAG50" s="54"/>
      <c r="BAH50" s="54"/>
      <c r="BAI50" s="54"/>
      <c r="BAJ50" s="54"/>
      <c r="BAK50" s="54"/>
      <c r="BAL50" s="54"/>
      <c r="BAM50" s="54"/>
      <c r="BAN50" s="54"/>
      <c r="BAO50" s="54"/>
      <c r="BAP50" s="54"/>
      <c r="BAQ50" s="54"/>
      <c r="BAR50" s="54"/>
      <c r="BAS50" s="54"/>
      <c r="BAT50" s="54"/>
      <c r="BAU50" s="54"/>
      <c r="BAV50" s="54"/>
      <c r="BAW50" s="54"/>
      <c r="BAX50" s="54"/>
      <c r="BAY50" s="54"/>
      <c r="BAZ50" s="54"/>
      <c r="BBA50" s="54"/>
      <c r="BBB50" s="54"/>
      <c r="BBC50" s="54"/>
      <c r="BBD50" s="54"/>
      <c r="BBE50" s="54"/>
      <c r="BBF50" s="54"/>
      <c r="BBG50" s="54"/>
      <c r="BBH50" s="54"/>
      <c r="BBI50" s="54"/>
      <c r="BBJ50" s="54"/>
      <c r="BBK50" s="54"/>
      <c r="BBL50" s="54"/>
      <c r="BBM50" s="54"/>
      <c r="BBN50" s="54"/>
      <c r="BBO50" s="54"/>
      <c r="BBP50" s="54"/>
      <c r="BBQ50" s="54"/>
      <c r="BBR50" s="54"/>
      <c r="BBS50" s="54"/>
      <c r="BBT50" s="54"/>
      <c r="BBU50" s="54"/>
      <c r="BBV50" s="54"/>
      <c r="BBW50" s="54"/>
      <c r="BBX50" s="54"/>
      <c r="BBY50" s="54"/>
      <c r="BBZ50" s="54"/>
      <c r="BCA50" s="54"/>
      <c r="BCB50" s="54"/>
      <c r="BCC50" s="54"/>
      <c r="BCD50" s="54"/>
      <c r="BCE50" s="54"/>
      <c r="BCF50" s="54"/>
      <c r="BCG50" s="54"/>
      <c r="BCH50" s="54"/>
      <c r="BCI50" s="54"/>
      <c r="BCJ50" s="54"/>
      <c r="BCK50" s="54"/>
      <c r="BCL50" s="54"/>
      <c r="BCM50" s="54"/>
      <c r="BCN50" s="54"/>
      <c r="BCO50" s="54"/>
      <c r="BCP50" s="54"/>
      <c r="BCQ50" s="54"/>
      <c r="BCR50" s="54"/>
      <c r="BCS50" s="54"/>
      <c r="BCT50" s="54"/>
      <c r="BCU50" s="54"/>
      <c r="BCV50" s="54"/>
      <c r="BCW50" s="54"/>
      <c r="BCX50" s="54"/>
      <c r="BCY50" s="54"/>
      <c r="BCZ50" s="54"/>
      <c r="BDA50" s="54"/>
      <c r="BDB50" s="54"/>
      <c r="BDC50" s="54"/>
      <c r="BDD50" s="54"/>
      <c r="BDE50" s="54"/>
      <c r="BDF50" s="54"/>
      <c r="BDG50" s="54"/>
      <c r="BDH50" s="54"/>
      <c r="BDI50" s="54"/>
      <c r="BDJ50" s="54"/>
      <c r="BDK50" s="54"/>
      <c r="BDL50" s="54"/>
      <c r="BDM50" s="54"/>
      <c r="BDN50" s="54"/>
      <c r="BDO50" s="54"/>
      <c r="BDP50" s="54"/>
      <c r="BDQ50" s="54"/>
      <c r="BDR50" s="54"/>
      <c r="BDS50" s="54"/>
      <c r="BDT50" s="54"/>
      <c r="BDU50" s="54"/>
      <c r="BDV50" s="54"/>
      <c r="BDW50" s="54"/>
      <c r="BDX50" s="54"/>
      <c r="BDY50" s="54"/>
      <c r="BDZ50" s="54"/>
      <c r="BEA50" s="54"/>
      <c r="BEB50" s="54"/>
      <c r="BEC50" s="54"/>
      <c r="BED50" s="54"/>
      <c r="BEE50" s="54"/>
      <c r="BEF50" s="54"/>
      <c r="BEG50" s="54"/>
      <c r="BEH50" s="54"/>
      <c r="BEI50" s="54"/>
      <c r="BEJ50" s="54"/>
      <c r="BEK50" s="54"/>
      <c r="BEL50" s="54"/>
      <c r="BEM50" s="54"/>
      <c r="BEN50" s="54"/>
      <c r="BEO50" s="54"/>
      <c r="BEP50" s="54"/>
      <c r="BEQ50" s="54"/>
      <c r="BER50" s="54"/>
      <c r="BES50" s="54"/>
      <c r="BET50" s="54"/>
      <c r="BEU50" s="54"/>
      <c r="BEV50" s="54"/>
      <c r="BEW50" s="54"/>
      <c r="BEX50" s="54"/>
      <c r="BEY50" s="54"/>
      <c r="BEZ50" s="54"/>
      <c r="BFA50" s="54"/>
      <c r="BFB50" s="54"/>
      <c r="BFC50" s="54"/>
      <c r="BFD50" s="54"/>
      <c r="BFE50" s="54"/>
      <c r="BFF50" s="54"/>
      <c r="BFG50" s="54"/>
      <c r="BFH50" s="54"/>
      <c r="BFI50" s="54"/>
      <c r="BFJ50" s="54"/>
      <c r="BFK50" s="54"/>
      <c r="BFL50" s="54"/>
      <c r="BFM50" s="54"/>
      <c r="BFN50" s="54"/>
      <c r="BFO50" s="54"/>
      <c r="BFP50" s="54"/>
      <c r="BFQ50" s="54"/>
      <c r="BFR50" s="54"/>
      <c r="BFS50" s="54"/>
      <c r="BFT50" s="54"/>
      <c r="BFU50" s="54"/>
      <c r="BFV50" s="54"/>
      <c r="BFW50" s="54"/>
      <c r="BFX50" s="54"/>
      <c r="BFY50" s="54"/>
      <c r="BFZ50" s="54"/>
      <c r="BGA50" s="54"/>
      <c r="BGB50" s="54"/>
      <c r="BGC50" s="54"/>
      <c r="BGD50" s="54"/>
      <c r="BGE50" s="54"/>
      <c r="BGF50" s="54"/>
      <c r="BGG50" s="54"/>
      <c r="BGH50" s="54"/>
      <c r="BGI50" s="54"/>
      <c r="BGJ50" s="54"/>
      <c r="BGK50" s="54"/>
      <c r="BGL50" s="54"/>
      <c r="BGM50" s="54"/>
      <c r="BGN50" s="54"/>
      <c r="BGO50" s="54"/>
      <c r="BGP50" s="54"/>
      <c r="BGQ50" s="54"/>
      <c r="BGR50" s="54"/>
      <c r="BGS50" s="54"/>
      <c r="BGT50" s="54"/>
      <c r="BGU50" s="54"/>
      <c r="BGV50" s="54"/>
      <c r="BGW50" s="54"/>
      <c r="BGX50" s="54"/>
      <c r="BGY50" s="54"/>
      <c r="BGZ50" s="54"/>
      <c r="BHA50" s="54"/>
      <c r="BHB50" s="54"/>
      <c r="BHC50" s="54"/>
      <c r="BHD50" s="54"/>
      <c r="BHE50" s="54"/>
      <c r="BHF50" s="54"/>
      <c r="BHG50" s="54"/>
      <c r="BHH50" s="54"/>
      <c r="BHI50" s="54"/>
      <c r="BHJ50" s="54"/>
      <c r="BHK50" s="54"/>
      <c r="BHL50" s="54"/>
      <c r="BHM50" s="54"/>
      <c r="BHN50" s="54"/>
      <c r="BHO50" s="54"/>
      <c r="BHP50" s="54"/>
      <c r="BHQ50" s="54"/>
      <c r="BHR50" s="54"/>
      <c r="BHS50" s="54"/>
      <c r="BHT50" s="54"/>
      <c r="BHU50" s="54"/>
      <c r="BHV50" s="54"/>
      <c r="BHW50" s="54"/>
      <c r="BHX50" s="54"/>
      <c r="BHY50" s="54"/>
      <c r="BHZ50" s="54"/>
      <c r="BIA50" s="54"/>
      <c r="BIB50" s="54"/>
      <c r="BIC50" s="54"/>
      <c r="BID50" s="54"/>
      <c r="BIE50" s="54"/>
      <c r="BIF50" s="54"/>
      <c r="BIG50" s="54"/>
      <c r="BIH50" s="54"/>
      <c r="BII50" s="54"/>
      <c r="BIJ50" s="54"/>
      <c r="BIK50" s="54"/>
      <c r="BIL50" s="54"/>
      <c r="BIM50" s="54"/>
      <c r="BIN50" s="54"/>
      <c r="BIO50" s="54"/>
      <c r="BIP50" s="54"/>
      <c r="BIQ50" s="54"/>
      <c r="BIR50" s="54"/>
      <c r="BIS50" s="54"/>
      <c r="BIT50" s="54"/>
      <c r="BIU50" s="54"/>
      <c r="BIV50" s="54"/>
      <c r="BIW50" s="54"/>
      <c r="BIX50" s="54"/>
      <c r="BIY50" s="54"/>
      <c r="BIZ50" s="54"/>
      <c r="BJA50" s="54"/>
      <c r="BJB50" s="54"/>
      <c r="BJC50" s="54"/>
      <c r="BJD50" s="54"/>
      <c r="BJE50" s="54"/>
      <c r="BJF50" s="54"/>
      <c r="BJG50" s="54"/>
      <c r="BJH50" s="54"/>
      <c r="BJI50" s="54"/>
      <c r="BJJ50" s="54"/>
      <c r="BJK50" s="54"/>
      <c r="BJL50" s="54"/>
      <c r="BJM50" s="54"/>
      <c r="BJN50" s="54"/>
      <c r="BJO50" s="54"/>
      <c r="BJP50" s="54"/>
      <c r="BJQ50" s="54"/>
      <c r="BJR50" s="54"/>
      <c r="BJS50" s="54"/>
      <c r="BJT50" s="54"/>
      <c r="BJU50" s="54"/>
      <c r="BJV50" s="54"/>
      <c r="BJW50" s="54"/>
      <c r="BJX50" s="54"/>
      <c r="BJY50" s="54"/>
      <c r="BJZ50" s="54"/>
      <c r="BKA50" s="54"/>
      <c r="BKB50" s="54"/>
      <c r="BKC50" s="54"/>
      <c r="BKD50" s="54"/>
      <c r="BKE50" s="54"/>
      <c r="BKF50" s="54"/>
      <c r="BKG50" s="54"/>
      <c r="BKH50" s="54"/>
      <c r="BKI50" s="54"/>
      <c r="BKJ50" s="54"/>
      <c r="BKK50" s="54"/>
      <c r="BKL50" s="54"/>
      <c r="BKM50" s="54"/>
      <c r="BKN50" s="54"/>
      <c r="BKO50" s="54"/>
      <c r="BKP50" s="54"/>
      <c r="BKQ50" s="54"/>
      <c r="BKR50" s="54"/>
      <c r="BKS50" s="54"/>
      <c r="BKT50" s="54"/>
      <c r="BKU50" s="54"/>
      <c r="BKV50" s="54"/>
      <c r="BKW50" s="54"/>
      <c r="BKX50" s="54"/>
      <c r="BKY50" s="54"/>
      <c r="BKZ50" s="54"/>
      <c r="BLA50" s="54"/>
      <c r="BLB50" s="54"/>
      <c r="BLC50" s="54"/>
      <c r="BLD50" s="54"/>
      <c r="BLE50" s="54"/>
      <c r="BLF50" s="54"/>
      <c r="BLG50" s="54"/>
      <c r="BLH50" s="54"/>
      <c r="BLI50" s="54"/>
      <c r="BLJ50" s="54"/>
      <c r="BLK50" s="54"/>
      <c r="BLL50" s="54"/>
      <c r="BLM50" s="54"/>
      <c r="BLN50" s="54"/>
      <c r="BLO50" s="54"/>
      <c r="BLP50" s="54"/>
      <c r="BLQ50" s="54"/>
      <c r="BLR50" s="54"/>
      <c r="BLS50" s="54"/>
      <c r="BLT50" s="54"/>
      <c r="BLU50" s="54"/>
      <c r="BLV50" s="54"/>
      <c r="BLW50" s="54"/>
      <c r="BLX50" s="54"/>
      <c r="BLY50" s="54"/>
      <c r="BLZ50" s="54"/>
      <c r="BMA50" s="54"/>
      <c r="BMB50" s="54"/>
      <c r="BMC50" s="54"/>
      <c r="BMD50" s="54"/>
      <c r="BME50" s="54"/>
      <c r="BMF50" s="54"/>
      <c r="BMG50" s="54"/>
      <c r="BMH50" s="54"/>
      <c r="BMI50" s="54"/>
      <c r="BMJ50" s="54"/>
      <c r="BMK50" s="54"/>
      <c r="BML50" s="54"/>
      <c r="BMM50" s="54"/>
      <c r="BMN50" s="54"/>
      <c r="BMO50" s="54"/>
      <c r="BMP50" s="54"/>
      <c r="BMQ50" s="54"/>
      <c r="BMR50" s="54"/>
      <c r="BMS50" s="54"/>
      <c r="BMT50" s="54"/>
      <c r="BMU50" s="54"/>
      <c r="BMV50" s="54"/>
      <c r="BMW50" s="54"/>
      <c r="BMX50" s="54"/>
      <c r="BMY50" s="54"/>
      <c r="BMZ50" s="54"/>
      <c r="BNA50" s="54"/>
      <c r="BNB50" s="54"/>
      <c r="BNC50" s="54"/>
      <c r="BND50" s="54"/>
      <c r="BNE50" s="54"/>
      <c r="BNF50" s="54"/>
      <c r="BNG50" s="54"/>
      <c r="BNH50" s="54"/>
      <c r="BNI50" s="54"/>
      <c r="BNJ50" s="54"/>
      <c r="BNK50" s="54"/>
      <c r="BNL50" s="54"/>
      <c r="BNM50" s="54"/>
      <c r="BNN50" s="54"/>
      <c r="BNO50" s="54"/>
      <c r="BNP50" s="54"/>
      <c r="BNQ50" s="54"/>
      <c r="BNR50" s="54"/>
      <c r="BNS50" s="54"/>
      <c r="BNT50" s="54"/>
      <c r="BNU50" s="54"/>
      <c r="BNV50" s="54"/>
      <c r="BNW50" s="54"/>
      <c r="BNX50" s="54"/>
      <c r="BNY50" s="54"/>
      <c r="BNZ50" s="54"/>
      <c r="BOA50" s="54"/>
      <c r="BOB50" s="54"/>
      <c r="BOC50" s="54"/>
      <c r="BOD50" s="54"/>
      <c r="BOE50" s="54"/>
      <c r="BOF50" s="54"/>
      <c r="BOG50" s="54"/>
      <c r="BOH50" s="54"/>
      <c r="BOI50" s="54"/>
      <c r="BOJ50" s="54"/>
      <c r="BOK50" s="54"/>
      <c r="BOL50" s="54"/>
      <c r="BOM50" s="54"/>
      <c r="BON50" s="54"/>
      <c r="BOO50" s="54"/>
      <c r="BOP50" s="54"/>
      <c r="BOQ50" s="54"/>
      <c r="BOR50" s="54"/>
      <c r="BOS50" s="54"/>
      <c r="BOT50" s="54"/>
      <c r="BOU50" s="54"/>
      <c r="BOV50" s="54"/>
      <c r="BOW50" s="54"/>
      <c r="BOX50" s="54"/>
      <c r="BOY50" s="54"/>
      <c r="BOZ50" s="54"/>
      <c r="BPA50" s="54"/>
      <c r="BPB50" s="54"/>
      <c r="BPC50" s="54"/>
      <c r="BPD50" s="54"/>
      <c r="BPE50" s="54"/>
      <c r="BPF50" s="54"/>
      <c r="BPG50" s="54"/>
      <c r="BPH50" s="54"/>
      <c r="BPI50" s="54"/>
      <c r="BPJ50" s="54"/>
      <c r="BPK50" s="54"/>
      <c r="BPL50" s="54"/>
      <c r="BPM50" s="54"/>
      <c r="BPN50" s="54"/>
      <c r="BPO50" s="54"/>
      <c r="BPP50" s="54"/>
      <c r="BPQ50" s="54"/>
      <c r="BPR50" s="54"/>
      <c r="BPS50" s="54"/>
      <c r="BPT50" s="54"/>
      <c r="BPU50" s="54"/>
      <c r="BPV50" s="54"/>
      <c r="BPW50" s="54"/>
      <c r="BPX50" s="54"/>
      <c r="BPY50" s="54"/>
      <c r="BPZ50" s="54"/>
      <c r="BQA50" s="54"/>
      <c r="BQB50" s="54"/>
      <c r="BQC50" s="54"/>
      <c r="BQD50" s="54"/>
      <c r="BQE50" s="54"/>
      <c r="BQF50" s="54"/>
      <c r="BQG50" s="54"/>
      <c r="BQH50" s="54"/>
      <c r="BQI50" s="54"/>
      <c r="BQJ50" s="54"/>
      <c r="BQK50" s="54"/>
      <c r="BQL50" s="54"/>
      <c r="BQM50" s="54"/>
      <c r="BQN50" s="54"/>
      <c r="BQO50" s="54"/>
      <c r="BQP50" s="54"/>
      <c r="BQQ50" s="54"/>
      <c r="BQR50" s="54"/>
      <c r="BQS50" s="54"/>
      <c r="BQT50" s="54"/>
      <c r="BQU50" s="54"/>
      <c r="BQV50" s="54"/>
      <c r="BQW50" s="54"/>
      <c r="BQX50" s="54"/>
      <c r="BQY50" s="54"/>
      <c r="BQZ50" s="54"/>
      <c r="BRA50" s="54"/>
      <c r="BRB50" s="54"/>
      <c r="BRC50" s="54"/>
      <c r="BRD50" s="54"/>
      <c r="BRE50" s="54"/>
      <c r="BRF50" s="54"/>
      <c r="BRG50" s="54"/>
      <c r="BRH50" s="54"/>
      <c r="BRI50" s="54"/>
      <c r="BRJ50" s="54"/>
      <c r="BRK50" s="54"/>
      <c r="BRL50" s="54"/>
      <c r="BRM50" s="54"/>
      <c r="BRN50" s="54"/>
      <c r="BRO50" s="54"/>
      <c r="BRP50" s="54"/>
      <c r="BRQ50" s="54"/>
      <c r="BRR50" s="54"/>
      <c r="BRS50" s="54"/>
      <c r="BRT50" s="54"/>
      <c r="BRU50" s="54"/>
      <c r="BRV50" s="54"/>
      <c r="BRW50" s="54"/>
      <c r="BRX50" s="54"/>
      <c r="BRY50" s="54"/>
      <c r="BRZ50" s="54"/>
      <c r="BSA50" s="54"/>
      <c r="BSB50" s="54"/>
      <c r="BSC50" s="54"/>
      <c r="BSD50" s="54"/>
      <c r="BSE50" s="54"/>
      <c r="BSF50" s="54"/>
      <c r="BSG50" s="54"/>
      <c r="BSH50" s="54"/>
      <c r="BSI50" s="54"/>
      <c r="BSJ50" s="54"/>
      <c r="BSK50" s="54"/>
      <c r="BSL50" s="54"/>
      <c r="BSM50" s="54"/>
      <c r="BSN50" s="54"/>
      <c r="BSO50" s="54"/>
      <c r="BSP50" s="54"/>
      <c r="BSQ50" s="54"/>
      <c r="BSR50" s="54"/>
      <c r="BSS50" s="54"/>
      <c r="BST50" s="54"/>
      <c r="BSU50" s="54"/>
      <c r="BSV50" s="54"/>
      <c r="BSW50" s="54"/>
      <c r="BSX50" s="54"/>
      <c r="BSY50" s="54"/>
      <c r="BSZ50" s="54"/>
      <c r="BTA50" s="54"/>
      <c r="BTB50" s="54"/>
      <c r="BTC50" s="54"/>
      <c r="BTD50" s="54"/>
      <c r="BTE50" s="54"/>
      <c r="BTF50" s="54"/>
      <c r="BTG50" s="54"/>
      <c r="BTH50" s="54"/>
      <c r="BTI50" s="54"/>
      <c r="BTJ50" s="54"/>
      <c r="BTK50" s="54"/>
      <c r="BTL50" s="54"/>
      <c r="BTM50" s="54"/>
      <c r="BTN50" s="54"/>
      <c r="BTO50" s="54"/>
      <c r="BTP50" s="54"/>
      <c r="BTQ50" s="54"/>
      <c r="BTR50" s="54"/>
      <c r="BTS50" s="54"/>
      <c r="BTT50" s="54"/>
      <c r="BTU50" s="54"/>
      <c r="BTV50" s="54"/>
      <c r="BTW50" s="54"/>
      <c r="BTX50" s="54"/>
      <c r="BTY50" s="54"/>
      <c r="BTZ50" s="54"/>
      <c r="BUA50" s="54"/>
      <c r="BUB50" s="54"/>
      <c r="BUC50" s="54"/>
      <c r="BUD50" s="54"/>
      <c r="BUE50" s="54"/>
      <c r="BUF50" s="54"/>
      <c r="BUG50" s="54"/>
      <c r="BUH50" s="54"/>
      <c r="BUI50" s="54"/>
      <c r="BUJ50" s="54"/>
      <c r="BUK50" s="54"/>
      <c r="BUL50" s="54"/>
      <c r="BUM50" s="54"/>
      <c r="BUN50" s="54"/>
      <c r="BUO50" s="54"/>
      <c r="BUP50" s="54"/>
      <c r="BUQ50" s="54"/>
      <c r="BUR50" s="54"/>
      <c r="BUS50" s="54"/>
      <c r="BUT50" s="54"/>
      <c r="BUU50" s="54"/>
      <c r="BUV50" s="54"/>
      <c r="BUW50" s="54"/>
      <c r="BUX50" s="54"/>
      <c r="BUY50" s="54"/>
      <c r="BUZ50" s="54"/>
      <c r="BVA50" s="54"/>
      <c r="BVB50" s="54"/>
      <c r="BVC50" s="54"/>
      <c r="BVD50" s="54"/>
      <c r="BVE50" s="54"/>
      <c r="BVF50" s="54"/>
      <c r="BVG50" s="54"/>
      <c r="BVH50" s="54"/>
      <c r="BVI50" s="54"/>
      <c r="BVJ50" s="54"/>
      <c r="BVK50" s="54"/>
      <c r="BVL50" s="54"/>
      <c r="BVM50" s="54"/>
      <c r="BVN50" s="54"/>
      <c r="BVO50" s="54"/>
      <c r="BVP50" s="54"/>
      <c r="BVQ50" s="54"/>
      <c r="BVR50" s="54"/>
      <c r="BVS50" s="54"/>
      <c r="BVT50" s="54"/>
      <c r="BVU50" s="54"/>
      <c r="BVV50" s="54"/>
      <c r="BVW50" s="54"/>
      <c r="BVX50" s="54"/>
      <c r="BVY50" s="54"/>
      <c r="BVZ50" s="54"/>
      <c r="BWA50" s="54"/>
      <c r="BWB50" s="54"/>
      <c r="BWC50" s="54"/>
      <c r="BWD50" s="54"/>
      <c r="BWE50" s="54"/>
      <c r="BWF50" s="54"/>
      <c r="BWG50" s="54"/>
      <c r="BWH50" s="54"/>
      <c r="BWI50" s="54"/>
      <c r="BWJ50" s="54"/>
      <c r="BWK50" s="54"/>
      <c r="BWL50" s="54"/>
      <c r="BWM50" s="54"/>
      <c r="BWN50" s="54"/>
      <c r="BWO50" s="54"/>
      <c r="BWP50" s="54"/>
      <c r="BWQ50" s="54"/>
      <c r="BWR50" s="54"/>
      <c r="BWS50" s="54"/>
      <c r="BWT50" s="54"/>
      <c r="BWU50" s="54"/>
      <c r="BWV50" s="54"/>
      <c r="BWW50" s="54"/>
      <c r="BWX50" s="54"/>
      <c r="BWY50" s="54"/>
      <c r="BWZ50" s="54"/>
      <c r="BXA50" s="54"/>
      <c r="BXB50" s="54"/>
      <c r="BXC50" s="54"/>
      <c r="BXD50" s="54"/>
      <c r="BXE50" s="54"/>
      <c r="BXF50" s="54"/>
      <c r="BXG50" s="54"/>
      <c r="BXH50" s="54"/>
      <c r="BXI50" s="54"/>
      <c r="BXJ50" s="54"/>
      <c r="BXK50" s="54"/>
      <c r="BXL50" s="54"/>
      <c r="BXM50" s="54"/>
      <c r="BXN50" s="54"/>
      <c r="BXO50" s="54"/>
      <c r="BXP50" s="54"/>
      <c r="BXQ50" s="54"/>
      <c r="BXR50" s="54"/>
      <c r="BXS50" s="54"/>
      <c r="BXT50" s="54"/>
      <c r="BXU50" s="54"/>
      <c r="BXV50" s="54"/>
      <c r="BXW50" s="54"/>
      <c r="BXX50" s="54"/>
      <c r="BXY50" s="54"/>
      <c r="BXZ50" s="54"/>
      <c r="BYA50" s="54"/>
      <c r="BYB50" s="54"/>
      <c r="BYC50" s="54"/>
      <c r="BYD50" s="54"/>
      <c r="BYE50" s="54"/>
      <c r="BYF50" s="54"/>
      <c r="BYG50" s="54"/>
      <c r="BYH50" s="54"/>
      <c r="BYI50" s="54"/>
      <c r="BYJ50" s="54"/>
      <c r="BYK50" s="54"/>
      <c r="BYL50" s="54"/>
      <c r="BYM50" s="54"/>
      <c r="BYN50" s="54"/>
      <c r="BYO50" s="54"/>
      <c r="BYP50" s="54"/>
      <c r="BYQ50" s="54"/>
      <c r="BYR50" s="54"/>
      <c r="BYS50" s="54"/>
      <c r="BYT50" s="54"/>
      <c r="BYU50" s="54"/>
      <c r="BYV50" s="54"/>
      <c r="BYW50" s="54"/>
      <c r="BYX50" s="54"/>
      <c r="BYY50" s="54"/>
      <c r="BYZ50" s="54"/>
      <c r="BZA50" s="54"/>
      <c r="BZB50" s="54"/>
      <c r="BZC50" s="54"/>
      <c r="BZD50" s="54"/>
      <c r="BZE50" s="54"/>
      <c r="BZF50" s="54"/>
      <c r="BZG50" s="54"/>
      <c r="BZH50" s="54"/>
      <c r="BZI50" s="54"/>
      <c r="BZJ50" s="54"/>
      <c r="BZK50" s="54"/>
      <c r="BZL50" s="54"/>
      <c r="BZM50" s="54"/>
      <c r="BZN50" s="54"/>
      <c r="BZO50" s="54"/>
      <c r="BZP50" s="54"/>
      <c r="BZQ50" s="54"/>
      <c r="BZR50" s="54"/>
      <c r="BZS50" s="54"/>
      <c r="BZT50" s="54"/>
      <c r="BZU50" s="54"/>
      <c r="BZV50" s="54"/>
      <c r="BZW50" s="54"/>
      <c r="BZX50" s="54"/>
      <c r="BZY50" s="54"/>
      <c r="BZZ50" s="54"/>
      <c r="CAA50" s="54"/>
      <c r="CAB50" s="54"/>
      <c r="CAC50" s="54"/>
      <c r="CAD50" s="54"/>
      <c r="CAE50" s="54"/>
      <c r="CAF50" s="54"/>
      <c r="CAG50" s="54"/>
      <c r="CAH50" s="54"/>
      <c r="CAI50" s="54"/>
      <c r="CAJ50" s="54"/>
      <c r="CAK50" s="54"/>
      <c r="CAL50" s="54"/>
      <c r="CAM50" s="54"/>
      <c r="CAN50" s="54"/>
      <c r="CAO50" s="54"/>
      <c r="CAP50" s="54"/>
      <c r="CAQ50" s="54"/>
      <c r="CAR50" s="54"/>
      <c r="CAS50" s="54"/>
      <c r="CAT50" s="54"/>
      <c r="CAU50" s="54"/>
      <c r="CAV50" s="54"/>
      <c r="CAW50" s="54"/>
      <c r="CAX50" s="54"/>
      <c r="CAY50" s="54"/>
      <c r="CAZ50" s="54"/>
      <c r="CBA50" s="54"/>
      <c r="CBB50" s="54"/>
      <c r="CBC50" s="54"/>
      <c r="CBD50" s="54"/>
      <c r="CBE50" s="54"/>
      <c r="CBF50" s="54"/>
      <c r="CBG50" s="54"/>
      <c r="CBH50" s="54"/>
      <c r="CBI50" s="54"/>
      <c r="CBJ50" s="54"/>
      <c r="CBK50" s="54"/>
      <c r="CBL50" s="54"/>
      <c r="CBM50" s="54"/>
      <c r="CBN50" s="54"/>
      <c r="CBO50" s="54"/>
      <c r="CBP50" s="54"/>
      <c r="CBQ50" s="54"/>
      <c r="CBR50" s="54"/>
      <c r="CBS50" s="54"/>
      <c r="CBT50" s="54"/>
      <c r="CBU50" s="54"/>
      <c r="CBV50" s="54"/>
      <c r="CBW50" s="54"/>
      <c r="CBX50" s="54"/>
      <c r="CBY50" s="54"/>
      <c r="CBZ50" s="54"/>
      <c r="CCA50" s="54"/>
      <c r="CCB50" s="54"/>
      <c r="CCC50" s="54"/>
      <c r="CCD50" s="54"/>
      <c r="CCE50" s="54"/>
      <c r="CCF50" s="54"/>
      <c r="CCG50" s="54"/>
      <c r="CCH50" s="54"/>
      <c r="CCI50" s="54"/>
      <c r="CCJ50" s="54"/>
      <c r="CCK50" s="54"/>
      <c r="CCL50" s="54"/>
      <c r="CCM50" s="54"/>
      <c r="CCN50" s="54"/>
      <c r="CCO50" s="54"/>
      <c r="CCP50" s="54"/>
      <c r="CCQ50" s="54"/>
      <c r="CCR50" s="54"/>
      <c r="CCS50" s="54"/>
      <c r="CCT50" s="54"/>
      <c r="CCU50" s="54"/>
      <c r="CCV50" s="54"/>
      <c r="CCW50" s="54"/>
      <c r="CCX50" s="54"/>
      <c r="CCY50" s="54"/>
      <c r="CCZ50" s="54"/>
      <c r="CDA50" s="54"/>
      <c r="CDB50" s="54"/>
      <c r="CDC50" s="54"/>
      <c r="CDD50" s="54"/>
      <c r="CDE50" s="54"/>
      <c r="CDF50" s="54"/>
      <c r="CDG50" s="54"/>
      <c r="CDH50" s="54"/>
      <c r="CDI50" s="54"/>
      <c r="CDJ50" s="54"/>
      <c r="CDK50" s="54"/>
      <c r="CDL50" s="54"/>
      <c r="CDM50" s="54"/>
      <c r="CDN50" s="54"/>
      <c r="CDO50" s="54"/>
      <c r="CDP50" s="54"/>
      <c r="CDQ50" s="54"/>
      <c r="CDR50" s="54"/>
      <c r="CDS50" s="54"/>
      <c r="CDT50" s="54"/>
      <c r="CDU50" s="54"/>
      <c r="CDV50" s="54"/>
      <c r="CDW50" s="54"/>
      <c r="CDX50" s="54"/>
      <c r="CDY50" s="54"/>
      <c r="CDZ50" s="54"/>
      <c r="CEA50" s="54"/>
      <c r="CEB50" s="54"/>
      <c r="CEC50" s="54"/>
      <c r="CED50" s="54"/>
      <c r="CEE50" s="54"/>
      <c r="CEF50" s="54"/>
      <c r="CEG50" s="54"/>
      <c r="CEH50" s="54"/>
      <c r="CEI50" s="54"/>
      <c r="CEJ50" s="54"/>
      <c r="CEK50" s="54"/>
      <c r="CEL50" s="54"/>
      <c r="CEM50" s="54"/>
      <c r="CEN50" s="54"/>
      <c r="CEO50" s="54"/>
      <c r="CEP50" s="54"/>
      <c r="CEQ50" s="54"/>
    </row>
    <row r="51" spans="1:2183" s="13" customFormat="1" ht="42" customHeight="1" thickTop="1" thickBot="1" x14ac:dyDescent="0.3">
      <c r="A51" s="449" t="s">
        <v>1758</v>
      </c>
      <c r="B51" s="449" t="s">
        <v>1724</v>
      </c>
      <c r="C51" s="449" t="s">
        <v>440</v>
      </c>
      <c r="D51" s="490">
        <v>3</v>
      </c>
      <c r="E51" s="490">
        <v>30</v>
      </c>
      <c r="F51" s="490">
        <v>3</v>
      </c>
      <c r="G51" s="490">
        <v>520</v>
      </c>
      <c r="H51" s="456">
        <v>459000000</v>
      </c>
      <c r="I51" s="450">
        <v>0</v>
      </c>
      <c r="J51" s="334" t="s">
        <v>1761</v>
      </c>
      <c r="K51" s="491" t="s">
        <v>13</v>
      </c>
      <c r="L51" s="491">
        <v>10</v>
      </c>
      <c r="M51" s="491">
        <v>0</v>
      </c>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c r="GG51" s="54"/>
      <c r="GH51" s="54"/>
      <c r="GI51" s="54"/>
      <c r="GJ51" s="54"/>
      <c r="GK51" s="54"/>
      <c r="GL51" s="54"/>
      <c r="GM51" s="54"/>
      <c r="GN51" s="54"/>
      <c r="GO51" s="54"/>
      <c r="GP51" s="54"/>
      <c r="GQ51" s="54"/>
      <c r="GR51" s="54"/>
      <c r="GS51" s="54"/>
      <c r="GT51" s="54"/>
      <c r="GU51" s="54"/>
      <c r="GV51" s="54"/>
      <c r="GW51" s="54"/>
      <c r="GX51" s="54"/>
      <c r="GY51" s="54"/>
      <c r="GZ51" s="54"/>
      <c r="HA51" s="54"/>
      <c r="HB51" s="54"/>
      <c r="HC51" s="54"/>
      <c r="HD51" s="54"/>
      <c r="HE51" s="54"/>
      <c r="HF51" s="54"/>
      <c r="HG51" s="54"/>
      <c r="HH51" s="54"/>
      <c r="HI51" s="54"/>
      <c r="HJ51" s="54"/>
      <c r="HK51" s="54"/>
      <c r="HL51" s="54"/>
      <c r="HM51" s="54"/>
      <c r="HN51" s="54"/>
      <c r="HO51" s="54"/>
      <c r="HP51" s="54"/>
      <c r="HQ51" s="54"/>
      <c r="HR51" s="54"/>
      <c r="HS51" s="54"/>
      <c r="HT51" s="54"/>
      <c r="HU51" s="54"/>
      <c r="HV51" s="54"/>
      <c r="HW51" s="54"/>
      <c r="HX51" s="54"/>
      <c r="HY51" s="54"/>
      <c r="HZ51" s="54"/>
      <c r="IA51" s="54"/>
      <c r="IB51" s="54"/>
      <c r="IC51" s="54"/>
      <c r="ID51" s="54"/>
      <c r="IE51" s="54"/>
      <c r="IF51" s="54"/>
      <c r="IG51" s="54"/>
      <c r="IH51" s="54"/>
      <c r="II51" s="54"/>
      <c r="IJ51" s="54"/>
      <c r="IK51" s="54"/>
      <c r="IL51" s="54"/>
      <c r="IM51" s="54"/>
      <c r="IN51" s="54"/>
      <c r="IO51" s="54"/>
      <c r="IP51" s="54"/>
      <c r="IQ51" s="54"/>
      <c r="IR51" s="54"/>
      <c r="IS51" s="54"/>
      <c r="IT51" s="54"/>
      <c r="IU51" s="54"/>
      <c r="IV51" s="54"/>
      <c r="IW51" s="54"/>
      <c r="IX51" s="54"/>
      <c r="IY51" s="54"/>
      <c r="IZ51" s="54"/>
      <c r="JA51" s="54"/>
      <c r="JB51" s="54"/>
      <c r="JC51" s="54"/>
      <c r="JD51" s="54"/>
      <c r="JE51" s="54"/>
      <c r="JF51" s="54"/>
      <c r="JG51" s="54"/>
      <c r="JH51" s="54"/>
      <c r="JI51" s="54"/>
      <c r="JJ51" s="54"/>
      <c r="JK51" s="54"/>
      <c r="JL51" s="54"/>
      <c r="JM51" s="54"/>
      <c r="JN51" s="54"/>
      <c r="JO51" s="54"/>
      <c r="JP51" s="54"/>
      <c r="JQ51" s="54"/>
      <c r="JR51" s="54"/>
      <c r="JS51" s="54"/>
      <c r="JT51" s="54"/>
      <c r="JU51" s="54"/>
      <c r="JV51" s="54"/>
      <c r="JW51" s="54"/>
      <c r="JX51" s="54"/>
      <c r="JY51" s="54"/>
      <c r="JZ51" s="54"/>
      <c r="KA51" s="54"/>
      <c r="KB51" s="54"/>
      <c r="KC51" s="54"/>
      <c r="KD51" s="54"/>
      <c r="KE51" s="54"/>
      <c r="KF51" s="54"/>
      <c r="KG51" s="54"/>
      <c r="KH51" s="54"/>
      <c r="KI51" s="54"/>
      <c r="KJ51" s="54"/>
      <c r="KK51" s="54"/>
      <c r="KL51" s="54"/>
      <c r="KM51" s="54"/>
      <c r="KN51" s="54"/>
      <c r="KO51" s="54"/>
      <c r="KP51" s="54"/>
      <c r="KQ51" s="54"/>
      <c r="KR51" s="54"/>
      <c r="KS51" s="54"/>
      <c r="KT51" s="54"/>
      <c r="KU51" s="54"/>
      <c r="KV51" s="54"/>
      <c r="KW51" s="54"/>
      <c r="KX51" s="54"/>
      <c r="KY51" s="54"/>
      <c r="KZ51" s="54"/>
      <c r="LA51" s="54"/>
      <c r="LB51" s="54"/>
      <c r="LC51" s="54"/>
      <c r="LD51" s="54"/>
      <c r="LE51" s="54"/>
      <c r="LF51" s="54"/>
      <c r="LG51" s="54"/>
      <c r="LH51" s="54"/>
      <c r="LI51" s="54"/>
      <c r="LJ51" s="54"/>
      <c r="LK51" s="54"/>
      <c r="LL51" s="54"/>
      <c r="LM51" s="54"/>
      <c r="LN51" s="54"/>
      <c r="LO51" s="54"/>
      <c r="LP51" s="54"/>
      <c r="LQ51" s="54"/>
      <c r="LR51" s="54"/>
      <c r="LS51" s="54"/>
      <c r="LT51" s="54"/>
      <c r="LU51" s="54"/>
      <c r="LV51" s="54"/>
      <c r="LW51" s="54"/>
      <c r="LX51" s="54"/>
      <c r="LY51" s="54"/>
      <c r="LZ51" s="54"/>
      <c r="MA51" s="54"/>
      <c r="MB51" s="54"/>
      <c r="MC51" s="54"/>
      <c r="MD51" s="54"/>
      <c r="ME51" s="54"/>
      <c r="MF51" s="54"/>
      <c r="MG51" s="54"/>
      <c r="MH51" s="54"/>
      <c r="MI51" s="54"/>
      <c r="MJ51" s="54"/>
      <c r="MK51" s="54"/>
      <c r="ML51" s="54"/>
      <c r="MM51" s="54"/>
      <c r="MN51" s="54"/>
      <c r="MO51" s="54"/>
      <c r="MP51" s="54"/>
      <c r="MQ51" s="54"/>
      <c r="MR51" s="54"/>
      <c r="MS51" s="54"/>
      <c r="MT51" s="54"/>
      <c r="MU51" s="54"/>
      <c r="MV51" s="54"/>
      <c r="MW51" s="54"/>
      <c r="MX51" s="54"/>
      <c r="MY51" s="54"/>
      <c r="MZ51" s="54"/>
      <c r="NA51" s="54"/>
      <c r="NB51" s="54"/>
      <c r="NC51" s="54"/>
      <c r="ND51" s="54"/>
      <c r="NE51" s="54"/>
      <c r="NF51" s="54"/>
      <c r="NG51" s="54"/>
      <c r="NH51" s="54"/>
      <c r="NI51" s="54"/>
      <c r="NJ51" s="54"/>
      <c r="NK51" s="54"/>
      <c r="NL51" s="54"/>
      <c r="NM51" s="54"/>
      <c r="NN51" s="54"/>
      <c r="NO51" s="54"/>
      <c r="NP51" s="54"/>
      <c r="NQ51" s="54"/>
      <c r="NR51" s="54"/>
      <c r="NS51" s="54"/>
      <c r="NT51" s="54"/>
      <c r="NU51" s="54"/>
      <c r="NV51" s="54"/>
      <c r="NW51" s="54"/>
      <c r="NX51" s="54"/>
      <c r="NY51" s="54"/>
      <c r="NZ51" s="54"/>
      <c r="OA51" s="54"/>
      <c r="OB51" s="54"/>
      <c r="OC51" s="54"/>
      <c r="OD51" s="54"/>
      <c r="OE51" s="54"/>
      <c r="OF51" s="54"/>
      <c r="OG51" s="54"/>
      <c r="OH51" s="54"/>
      <c r="OI51" s="54"/>
      <c r="OJ51" s="54"/>
      <c r="OK51" s="54"/>
      <c r="OL51" s="54"/>
      <c r="OM51" s="54"/>
      <c r="ON51" s="54"/>
      <c r="OO51" s="54"/>
      <c r="OP51" s="54"/>
      <c r="OQ51" s="54"/>
      <c r="OR51" s="54"/>
      <c r="OS51" s="54"/>
      <c r="OT51" s="54"/>
      <c r="OU51" s="54"/>
      <c r="OV51" s="54"/>
      <c r="OW51" s="54"/>
      <c r="OX51" s="54"/>
      <c r="OY51" s="54"/>
      <c r="OZ51" s="54"/>
      <c r="PA51" s="54"/>
      <c r="PB51" s="54"/>
      <c r="PC51" s="54"/>
      <c r="PD51" s="54"/>
      <c r="PE51" s="54"/>
      <c r="PF51" s="54"/>
      <c r="PG51" s="54"/>
      <c r="PH51" s="54"/>
      <c r="PI51" s="54"/>
      <c r="PJ51" s="54"/>
      <c r="PK51" s="54"/>
      <c r="PL51" s="54"/>
      <c r="PM51" s="54"/>
      <c r="PN51" s="54"/>
      <c r="PO51" s="54"/>
      <c r="PP51" s="54"/>
      <c r="PQ51" s="54"/>
      <c r="PR51" s="54"/>
      <c r="PS51" s="54"/>
      <c r="PT51" s="54"/>
      <c r="PU51" s="54"/>
      <c r="PV51" s="54"/>
      <c r="PW51" s="54"/>
      <c r="PX51" s="54"/>
      <c r="PY51" s="54"/>
      <c r="PZ51" s="54"/>
      <c r="QA51" s="54"/>
      <c r="QB51" s="54"/>
      <c r="QC51" s="54"/>
      <c r="QD51" s="54"/>
      <c r="QE51" s="54"/>
      <c r="QF51" s="54"/>
      <c r="QG51" s="54"/>
      <c r="QH51" s="54"/>
      <c r="QI51" s="54"/>
      <c r="QJ51" s="54"/>
      <c r="QK51" s="54"/>
      <c r="QL51" s="54"/>
      <c r="QM51" s="54"/>
      <c r="QN51" s="54"/>
      <c r="QO51" s="54"/>
      <c r="QP51" s="54"/>
      <c r="QQ51" s="54"/>
      <c r="QR51" s="54"/>
      <c r="QS51" s="54"/>
      <c r="QT51" s="54"/>
      <c r="QU51" s="54"/>
      <c r="QV51" s="54"/>
      <c r="QW51" s="54"/>
      <c r="QX51" s="54"/>
      <c r="QY51" s="54"/>
      <c r="QZ51" s="54"/>
      <c r="RA51" s="54"/>
      <c r="RB51" s="54"/>
      <c r="RC51" s="54"/>
      <c r="RD51" s="54"/>
      <c r="RE51" s="54"/>
      <c r="RF51" s="54"/>
      <c r="RG51" s="54"/>
      <c r="RH51" s="54"/>
      <c r="RI51" s="54"/>
      <c r="RJ51" s="54"/>
      <c r="RK51" s="54"/>
      <c r="RL51" s="54"/>
      <c r="RM51" s="54"/>
      <c r="RN51" s="54"/>
      <c r="RO51" s="54"/>
      <c r="RP51" s="54"/>
      <c r="RQ51" s="54"/>
      <c r="RR51" s="54"/>
      <c r="RS51" s="54"/>
      <c r="RT51" s="54"/>
      <c r="RU51" s="54"/>
      <c r="RV51" s="54"/>
      <c r="RW51" s="54"/>
      <c r="RX51" s="54"/>
      <c r="RY51" s="54"/>
      <c r="RZ51" s="54"/>
      <c r="SA51" s="54"/>
      <c r="SB51" s="54"/>
      <c r="SC51" s="54"/>
      <c r="SD51" s="54"/>
      <c r="SE51" s="54"/>
      <c r="SF51" s="54"/>
      <c r="SG51" s="54"/>
      <c r="SH51" s="54"/>
      <c r="SI51" s="54"/>
      <c r="SJ51" s="54"/>
      <c r="SK51" s="54"/>
      <c r="SL51" s="54"/>
      <c r="SM51" s="54"/>
      <c r="SN51" s="54"/>
      <c r="SO51" s="54"/>
      <c r="SP51" s="54"/>
      <c r="SQ51" s="54"/>
      <c r="SR51" s="54"/>
      <c r="SS51" s="54"/>
      <c r="ST51" s="54"/>
      <c r="SU51" s="54"/>
      <c r="SV51" s="54"/>
      <c r="SW51" s="54"/>
      <c r="SX51" s="54"/>
      <c r="SY51" s="54"/>
      <c r="SZ51" s="54"/>
      <c r="TA51" s="54"/>
      <c r="TB51" s="54"/>
      <c r="TC51" s="54"/>
      <c r="TD51" s="54"/>
      <c r="TE51" s="54"/>
      <c r="TF51" s="54"/>
      <c r="TG51" s="54"/>
      <c r="TH51" s="54"/>
      <c r="TI51" s="54"/>
      <c r="TJ51" s="54"/>
      <c r="TK51" s="54"/>
      <c r="TL51" s="54"/>
      <c r="TM51" s="54"/>
      <c r="TN51" s="54"/>
      <c r="TO51" s="54"/>
      <c r="TP51" s="54"/>
      <c r="TQ51" s="54"/>
      <c r="TR51" s="54"/>
      <c r="TS51" s="54"/>
      <c r="TT51" s="54"/>
      <c r="TU51" s="54"/>
      <c r="TV51" s="54"/>
      <c r="TW51" s="54"/>
      <c r="TX51" s="54"/>
      <c r="TY51" s="54"/>
      <c r="TZ51" s="54"/>
      <c r="UA51" s="54"/>
      <c r="UB51" s="54"/>
      <c r="UC51" s="54"/>
      <c r="UD51" s="54"/>
      <c r="UE51" s="54"/>
      <c r="UF51" s="54"/>
      <c r="UG51" s="54"/>
      <c r="UH51" s="54"/>
      <c r="UI51" s="54"/>
      <c r="UJ51" s="54"/>
      <c r="UK51" s="54"/>
      <c r="UL51" s="54"/>
      <c r="UM51" s="54"/>
      <c r="UN51" s="54"/>
      <c r="UO51" s="54"/>
      <c r="UP51" s="54"/>
      <c r="UQ51" s="54"/>
      <c r="UR51" s="54"/>
      <c r="US51" s="54"/>
      <c r="UT51" s="54"/>
      <c r="UU51" s="54"/>
      <c r="UV51" s="54"/>
      <c r="UW51" s="54"/>
      <c r="UX51" s="54"/>
      <c r="UY51" s="54"/>
      <c r="UZ51" s="54"/>
      <c r="VA51" s="54"/>
      <c r="VB51" s="54"/>
      <c r="VC51" s="54"/>
      <c r="VD51" s="54"/>
      <c r="VE51" s="54"/>
      <c r="VF51" s="54"/>
      <c r="VG51" s="54"/>
      <c r="VH51" s="54"/>
      <c r="VI51" s="54"/>
      <c r="VJ51" s="54"/>
      <c r="VK51" s="54"/>
      <c r="VL51" s="54"/>
      <c r="VM51" s="54"/>
      <c r="VN51" s="54"/>
      <c r="VO51" s="54"/>
      <c r="VP51" s="54"/>
      <c r="VQ51" s="54"/>
      <c r="VR51" s="54"/>
      <c r="VS51" s="54"/>
      <c r="VT51" s="54"/>
      <c r="VU51" s="54"/>
      <c r="VV51" s="54"/>
      <c r="VW51" s="54"/>
      <c r="VX51" s="54"/>
      <c r="VY51" s="54"/>
      <c r="VZ51" s="54"/>
      <c r="WA51" s="54"/>
      <c r="WB51" s="54"/>
      <c r="WC51" s="54"/>
      <c r="WD51" s="54"/>
      <c r="WE51" s="54"/>
      <c r="WF51" s="54"/>
      <c r="WG51" s="54"/>
      <c r="WH51" s="54"/>
      <c r="WI51" s="54"/>
      <c r="WJ51" s="54"/>
      <c r="WK51" s="54"/>
      <c r="WL51" s="54"/>
      <c r="WM51" s="54"/>
      <c r="WN51" s="54"/>
      <c r="WO51" s="54"/>
      <c r="WP51" s="54"/>
      <c r="WQ51" s="54"/>
      <c r="WR51" s="54"/>
      <c r="WS51" s="54"/>
      <c r="WT51" s="54"/>
      <c r="WU51" s="54"/>
      <c r="WV51" s="54"/>
      <c r="WW51" s="54"/>
      <c r="WX51" s="54"/>
      <c r="WY51" s="54"/>
      <c r="WZ51" s="54"/>
      <c r="XA51" s="54"/>
      <c r="XB51" s="54"/>
      <c r="XC51" s="54"/>
      <c r="XD51" s="54"/>
      <c r="XE51" s="54"/>
      <c r="XF51" s="54"/>
      <c r="XG51" s="54"/>
      <c r="XH51" s="54"/>
      <c r="XI51" s="54"/>
      <c r="XJ51" s="54"/>
      <c r="XK51" s="54"/>
      <c r="XL51" s="54"/>
      <c r="XM51" s="54"/>
      <c r="XN51" s="54"/>
      <c r="XO51" s="54"/>
      <c r="XP51" s="54"/>
      <c r="XQ51" s="54"/>
      <c r="XR51" s="54"/>
      <c r="XS51" s="54"/>
      <c r="XT51" s="54"/>
      <c r="XU51" s="54"/>
      <c r="XV51" s="54"/>
      <c r="XW51" s="54"/>
      <c r="XX51" s="54"/>
      <c r="XY51" s="54"/>
      <c r="XZ51" s="54"/>
      <c r="YA51" s="54"/>
      <c r="YB51" s="54"/>
      <c r="YC51" s="54"/>
      <c r="YD51" s="54"/>
      <c r="YE51" s="54"/>
      <c r="YF51" s="54"/>
      <c r="YG51" s="54"/>
      <c r="YH51" s="54"/>
      <c r="YI51" s="54"/>
      <c r="YJ51" s="54"/>
      <c r="YK51" s="54"/>
      <c r="YL51" s="54"/>
      <c r="YM51" s="54"/>
      <c r="YN51" s="54"/>
      <c r="YO51" s="54"/>
      <c r="YP51" s="54"/>
      <c r="YQ51" s="54"/>
      <c r="YR51" s="54"/>
      <c r="YS51" s="54"/>
      <c r="YT51" s="54"/>
      <c r="YU51" s="54"/>
      <c r="YV51" s="54"/>
      <c r="YW51" s="54"/>
      <c r="YX51" s="54"/>
      <c r="YY51" s="54"/>
      <c r="YZ51" s="54"/>
      <c r="ZA51" s="54"/>
      <c r="ZB51" s="54"/>
      <c r="ZC51" s="54"/>
      <c r="ZD51" s="54"/>
      <c r="ZE51" s="54"/>
      <c r="ZF51" s="54"/>
      <c r="ZG51" s="54"/>
      <c r="ZH51" s="54"/>
      <c r="ZI51" s="54"/>
      <c r="ZJ51" s="54"/>
      <c r="ZK51" s="54"/>
      <c r="ZL51" s="54"/>
      <c r="ZM51" s="54"/>
      <c r="ZN51" s="54"/>
      <c r="ZO51" s="54"/>
      <c r="ZP51" s="54"/>
      <c r="ZQ51" s="54"/>
      <c r="ZR51" s="54"/>
      <c r="ZS51" s="54"/>
      <c r="ZT51" s="54"/>
      <c r="ZU51" s="54"/>
      <c r="ZV51" s="54"/>
      <c r="ZW51" s="54"/>
      <c r="ZX51" s="54"/>
      <c r="ZY51" s="54"/>
      <c r="ZZ51" s="54"/>
      <c r="AAA51" s="54"/>
      <c r="AAB51" s="54"/>
      <c r="AAC51" s="54"/>
      <c r="AAD51" s="54"/>
      <c r="AAE51" s="54"/>
      <c r="AAF51" s="54"/>
      <c r="AAG51" s="54"/>
      <c r="AAH51" s="54"/>
      <c r="AAI51" s="54"/>
      <c r="AAJ51" s="54"/>
      <c r="AAK51" s="54"/>
      <c r="AAL51" s="54"/>
      <c r="AAM51" s="54"/>
      <c r="AAN51" s="54"/>
      <c r="AAO51" s="54"/>
      <c r="AAP51" s="54"/>
      <c r="AAQ51" s="54"/>
      <c r="AAR51" s="54"/>
      <c r="AAS51" s="54"/>
      <c r="AAT51" s="54"/>
      <c r="AAU51" s="54"/>
      <c r="AAV51" s="54"/>
      <c r="AAW51" s="54"/>
      <c r="AAX51" s="54"/>
      <c r="AAY51" s="54"/>
      <c r="AAZ51" s="54"/>
      <c r="ABA51" s="54"/>
      <c r="ABB51" s="54"/>
      <c r="ABC51" s="54"/>
      <c r="ABD51" s="54"/>
      <c r="ABE51" s="54"/>
      <c r="ABF51" s="54"/>
      <c r="ABG51" s="54"/>
      <c r="ABH51" s="54"/>
      <c r="ABI51" s="54"/>
      <c r="ABJ51" s="54"/>
      <c r="ABK51" s="54"/>
      <c r="ABL51" s="54"/>
      <c r="ABM51" s="54"/>
      <c r="ABN51" s="54"/>
      <c r="ABO51" s="54"/>
      <c r="ABP51" s="54"/>
      <c r="ABQ51" s="54"/>
      <c r="ABR51" s="54"/>
      <c r="ABS51" s="54"/>
      <c r="ABT51" s="54"/>
      <c r="ABU51" s="54"/>
      <c r="ABV51" s="54"/>
      <c r="ABW51" s="54"/>
      <c r="ABX51" s="54"/>
      <c r="ABY51" s="54"/>
      <c r="ABZ51" s="54"/>
      <c r="ACA51" s="54"/>
      <c r="ACB51" s="54"/>
      <c r="ACC51" s="54"/>
      <c r="ACD51" s="54"/>
      <c r="ACE51" s="54"/>
      <c r="ACF51" s="54"/>
      <c r="ACG51" s="54"/>
      <c r="ACH51" s="54"/>
      <c r="ACI51" s="54"/>
      <c r="ACJ51" s="54"/>
      <c r="ACK51" s="54"/>
      <c r="ACL51" s="54"/>
      <c r="ACM51" s="54"/>
      <c r="ACN51" s="54"/>
      <c r="ACO51" s="54"/>
      <c r="ACP51" s="54"/>
      <c r="ACQ51" s="54"/>
      <c r="ACR51" s="54"/>
      <c r="ACS51" s="54"/>
      <c r="ACT51" s="54"/>
      <c r="ACU51" s="54"/>
      <c r="ACV51" s="54"/>
      <c r="ACW51" s="54"/>
      <c r="ACX51" s="54"/>
      <c r="ACY51" s="54"/>
      <c r="ACZ51" s="54"/>
      <c r="ADA51" s="54"/>
      <c r="ADB51" s="54"/>
      <c r="ADC51" s="54"/>
      <c r="ADD51" s="54"/>
      <c r="ADE51" s="54"/>
      <c r="ADF51" s="54"/>
      <c r="ADG51" s="54"/>
      <c r="ADH51" s="54"/>
      <c r="ADI51" s="54"/>
      <c r="ADJ51" s="54"/>
      <c r="ADK51" s="54"/>
      <c r="ADL51" s="54"/>
      <c r="ADM51" s="54"/>
      <c r="ADN51" s="54"/>
      <c r="ADO51" s="54"/>
      <c r="ADP51" s="54"/>
      <c r="ADQ51" s="54"/>
      <c r="ADR51" s="54"/>
      <c r="ADS51" s="54"/>
      <c r="ADT51" s="54"/>
      <c r="ADU51" s="54"/>
      <c r="ADV51" s="54"/>
      <c r="ADW51" s="54"/>
      <c r="ADX51" s="54"/>
      <c r="ADY51" s="54"/>
      <c r="ADZ51" s="54"/>
      <c r="AEA51" s="54"/>
      <c r="AEB51" s="54"/>
      <c r="AEC51" s="54"/>
      <c r="AED51" s="54"/>
      <c r="AEE51" s="54"/>
      <c r="AEF51" s="54"/>
      <c r="AEG51" s="54"/>
      <c r="AEH51" s="54"/>
      <c r="AEI51" s="54"/>
      <c r="AEJ51" s="54"/>
      <c r="AEK51" s="54"/>
      <c r="AEL51" s="54"/>
      <c r="AEM51" s="54"/>
      <c r="AEN51" s="54"/>
      <c r="AEO51" s="54"/>
      <c r="AEP51" s="54"/>
      <c r="AEQ51" s="54"/>
      <c r="AER51" s="54"/>
      <c r="AES51" s="54"/>
      <c r="AET51" s="54"/>
      <c r="AEU51" s="54"/>
      <c r="AEV51" s="54"/>
      <c r="AEW51" s="54"/>
      <c r="AEX51" s="54"/>
      <c r="AEY51" s="54"/>
      <c r="AEZ51" s="54"/>
      <c r="AFA51" s="54"/>
      <c r="AFB51" s="54"/>
      <c r="AFC51" s="54"/>
      <c r="AFD51" s="54"/>
      <c r="AFE51" s="54"/>
      <c r="AFF51" s="54"/>
      <c r="AFG51" s="54"/>
      <c r="AFH51" s="54"/>
      <c r="AFI51" s="54"/>
      <c r="AFJ51" s="54"/>
      <c r="AFK51" s="54"/>
      <c r="AFL51" s="54"/>
      <c r="AFM51" s="54"/>
      <c r="AFN51" s="54"/>
      <c r="AFO51" s="54"/>
      <c r="AFP51" s="54"/>
      <c r="AFQ51" s="54"/>
      <c r="AFR51" s="54"/>
      <c r="AFS51" s="54"/>
      <c r="AFT51" s="54"/>
      <c r="AFU51" s="54"/>
      <c r="AFV51" s="54"/>
      <c r="AFW51" s="54"/>
      <c r="AFX51" s="54"/>
      <c r="AFY51" s="54"/>
      <c r="AFZ51" s="54"/>
      <c r="AGA51" s="54"/>
      <c r="AGB51" s="54"/>
      <c r="AGC51" s="54"/>
      <c r="AGD51" s="54"/>
      <c r="AGE51" s="54"/>
      <c r="AGF51" s="54"/>
      <c r="AGG51" s="54"/>
      <c r="AGH51" s="54"/>
      <c r="AGI51" s="54"/>
      <c r="AGJ51" s="54"/>
      <c r="AGK51" s="54"/>
      <c r="AGL51" s="54"/>
      <c r="AGM51" s="54"/>
      <c r="AGN51" s="54"/>
      <c r="AGO51" s="54"/>
      <c r="AGP51" s="54"/>
      <c r="AGQ51" s="54"/>
      <c r="AGR51" s="54"/>
      <c r="AGS51" s="54"/>
      <c r="AGT51" s="54"/>
      <c r="AGU51" s="54"/>
      <c r="AGV51" s="54"/>
      <c r="AGW51" s="54"/>
      <c r="AGX51" s="54"/>
      <c r="AGY51" s="54"/>
      <c r="AGZ51" s="54"/>
      <c r="AHA51" s="54"/>
      <c r="AHB51" s="54"/>
      <c r="AHC51" s="54"/>
      <c r="AHD51" s="54"/>
      <c r="AHE51" s="54"/>
      <c r="AHF51" s="54"/>
      <c r="AHG51" s="54"/>
      <c r="AHH51" s="54"/>
      <c r="AHI51" s="54"/>
      <c r="AHJ51" s="54"/>
      <c r="AHK51" s="54"/>
      <c r="AHL51" s="54"/>
      <c r="AHM51" s="54"/>
      <c r="AHN51" s="54"/>
      <c r="AHO51" s="54"/>
      <c r="AHP51" s="54"/>
      <c r="AHQ51" s="54"/>
      <c r="AHR51" s="54"/>
      <c r="AHS51" s="54"/>
      <c r="AHT51" s="54"/>
      <c r="AHU51" s="54"/>
      <c r="AHV51" s="54"/>
      <c r="AHW51" s="54"/>
      <c r="AHX51" s="54"/>
      <c r="AHY51" s="54"/>
      <c r="AHZ51" s="54"/>
      <c r="AIA51" s="54"/>
      <c r="AIB51" s="54"/>
      <c r="AIC51" s="54"/>
      <c r="AID51" s="54"/>
      <c r="AIE51" s="54"/>
      <c r="AIF51" s="54"/>
      <c r="AIG51" s="54"/>
      <c r="AIH51" s="54"/>
      <c r="AII51" s="54"/>
      <c r="AIJ51" s="54"/>
      <c r="AIK51" s="54"/>
      <c r="AIL51" s="54"/>
      <c r="AIM51" s="54"/>
      <c r="AIN51" s="54"/>
      <c r="AIO51" s="54"/>
      <c r="AIP51" s="54"/>
      <c r="AIQ51" s="54"/>
      <c r="AIR51" s="54"/>
      <c r="AIS51" s="54"/>
      <c r="AIT51" s="54"/>
      <c r="AIU51" s="54"/>
      <c r="AIV51" s="54"/>
      <c r="AIW51" s="54"/>
      <c r="AIX51" s="54"/>
      <c r="AIY51" s="54"/>
      <c r="AIZ51" s="54"/>
      <c r="AJA51" s="54"/>
      <c r="AJB51" s="54"/>
      <c r="AJC51" s="54"/>
      <c r="AJD51" s="54"/>
      <c r="AJE51" s="54"/>
      <c r="AJF51" s="54"/>
      <c r="AJG51" s="54"/>
      <c r="AJH51" s="54"/>
      <c r="AJI51" s="54"/>
      <c r="AJJ51" s="54"/>
      <c r="AJK51" s="54"/>
      <c r="AJL51" s="54"/>
      <c r="AJM51" s="54"/>
      <c r="AJN51" s="54"/>
      <c r="AJO51" s="54"/>
      <c r="AJP51" s="54"/>
      <c r="AJQ51" s="54"/>
      <c r="AJR51" s="54"/>
      <c r="AJS51" s="54"/>
      <c r="AJT51" s="54"/>
      <c r="AJU51" s="54"/>
      <c r="AJV51" s="54"/>
      <c r="AJW51" s="54"/>
      <c r="AJX51" s="54"/>
      <c r="AJY51" s="54"/>
      <c r="AJZ51" s="54"/>
      <c r="AKA51" s="54"/>
      <c r="AKB51" s="54"/>
      <c r="AKC51" s="54"/>
      <c r="AKD51" s="54"/>
      <c r="AKE51" s="54"/>
      <c r="AKF51" s="54"/>
      <c r="AKG51" s="54"/>
      <c r="AKH51" s="54"/>
      <c r="AKI51" s="54"/>
      <c r="AKJ51" s="54"/>
      <c r="AKK51" s="54"/>
      <c r="AKL51" s="54"/>
      <c r="AKM51" s="54"/>
      <c r="AKN51" s="54"/>
      <c r="AKO51" s="54"/>
      <c r="AKP51" s="54"/>
      <c r="AKQ51" s="54"/>
      <c r="AKR51" s="54"/>
      <c r="AKS51" s="54"/>
      <c r="AKT51" s="54"/>
      <c r="AKU51" s="54"/>
      <c r="AKV51" s="54"/>
      <c r="AKW51" s="54"/>
      <c r="AKX51" s="54"/>
      <c r="AKY51" s="54"/>
      <c r="AKZ51" s="54"/>
      <c r="ALA51" s="54"/>
      <c r="ALB51" s="54"/>
      <c r="ALC51" s="54"/>
      <c r="ALD51" s="54"/>
      <c r="ALE51" s="54"/>
      <c r="ALF51" s="54"/>
      <c r="ALG51" s="54"/>
      <c r="ALH51" s="54"/>
      <c r="ALI51" s="54"/>
      <c r="ALJ51" s="54"/>
      <c r="ALK51" s="54"/>
      <c r="ALL51" s="54"/>
      <c r="ALM51" s="54"/>
      <c r="ALN51" s="54"/>
      <c r="ALO51" s="54"/>
      <c r="ALP51" s="54"/>
      <c r="ALQ51" s="54"/>
      <c r="ALR51" s="54"/>
      <c r="ALS51" s="54"/>
      <c r="ALT51" s="54"/>
      <c r="ALU51" s="54"/>
      <c r="ALV51" s="54"/>
      <c r="ALW51" s="54"/>
      <c r="ALX51" s="54"/>
      <c r="ALY51" s="54"/>
      <c r="ALZ51" s="54"/>
      <c r="AMA51" s="54"/>
      <c r="AMB51" s="54"/>
      <c r="AMC51" s="54"/>
      <c r="AMD51" s="54"/>
      <c r="AME51" s="54"/>
      <c r="AMF51" s="54"/>
      <c r="AMG51" s="54"/>
      <c r="AMH51" s="54"/>
      <c r="AMI51" s="54"/>
      <c r="AMJ51" s="54"/>
      <c r="AMK51" s="54"/>
      <c r="AML51" s="54"/>
      <c r="AMM51" s="54"/>
      <c r="AMN51" s="54"/>
      <c r="AMO51" s="54"/>
      <c r="AMP51" s="54"/>
      <c r="AMQ51" s="54"/>
      <c r="AMR51" s="54"/>
      <c r="AMS51" s="54"/>
      <c r="AMT51" s="54"/>
      <c r="AMU51" s="54"/>
      <c r="AMV51" s="54"/>
      <c r="AMW51" s="54"/>
      <c r="AMX51" s="54"/>
      <c r="AMY51" s="54"/>
      <c r="AMZ51" s="54"/>
      <c r="ANA51" s="54"/>
      <c r="ANB51" s="54"/>
      <c r="ANC51" s="54"/>
      <c r="AND51" s="54"/>
      <c r="ANE51" s="54"/>
      <c r="ANF51" s="54"/>
      <c r="ANG51" s="54"/>
      <c r="ANH51" s="54"/>
      <c r="ANI51" s="54"/>
      <c r="ANJ51" s="54"/>
      <c r="ANK51" s="54"/>
      <c r="ANL51" s="54"/>
      <c r="ANM51" s="54"/>
      <c r="ANN51" s="54"/>
      <c r="ANO51" s="54"/>
      <c r="ANP51" s="54"/>
      <c r="ANQ51" s="54"/>
      <c r="ANR51" s="54"/>
      <c r="ANS51" s="54"/>
      <c r="ANT51" s="54"/>
      <c r="ANU51" s="54"/>
      <c r="ANV51" s="54"/>
      <c r="ANW51" s="54"/>
      <c r="ANX51" s="54"/>
      <c r="ANY51" s="54"/>
      <c r="ANZ51" s="54"/>
      <c r="AOA51" s="54"/>
      <c r="AOB51" s="54"/>
      <c r="AOC51" s="54"/>
      <c r="AOD51" s="54"/>
      <c r="AOE51" s="54"/>
      <c r="AOF51" s="54"/>
      <c r="AOG51" s="54"/>
      <c r="AOH51" s="54"/>
      <c r="AOI51" s="54"/>
      <c r="AOJ51" s="54"/>
      <c r="AOK51" s="54"/>
      <c r="AOL51" s="54"/>
      <c r="AOM51" s="54"/>
      <c r="AON51" s="54"/>
      <c r="AOO51" s="54"/>
      <c r="AOP51" s="54"/>
      <c r="AOQ51" s="54"/>
      <c r="AOR51" s="54"/>
      <c r="AOS51" s="54"/>
      <c r="AOT51" s="54"/>
      <c r="AOU51" s="54"/>
      <c r="AOV51" s="54"/>
      <c r="AOW51" s="54"/>
      <c r="AOX51" s="54"/>
      <c r="AOY51" s="54"/>
      <c r="AOZ51" s="54"/>
      <c r="APA51" s="54"/>
      <c r="APB51" s="54"/>
      <c r="APC51" s="54"/>
      <c r="APD51" s="54"/>
      <c r="APE51" s="54"/>
      <c r="APF51" s="54"/>
      <c r="APG51" s="54"/>
      <c r="APH51" s="54"/>
      <c r="API51" s="54"/>
      <c r="APJ51" s="54"/>
      <c r="APK51" s="54"/>
      <c r="APL51" s="54"/>
      <c r="APM51" s="54"/>
      <c r="APN51" s="54"/>
      <c r="APO51" s="54"/>
      <c r="APP51" s="54"/>
      <c r="APQ51" s="54"/>
      <c r="APR51" s="54"/>
      <c r="APS51" s="54"/>
      <c r="APT51" s="54"/>
      <c r="APU51" s="54"/>
      <c r="APV51" s="54"/>
      <c r="APW51" s="54"/>
      <c r="APX51" s="54"/>
      <c r="APY51" s="54"/>
      <c r="APZ51" s="54"/>
      <c r="AQA51" s="54"/>
      <c r="AQB51" s="54"/>
      <c r="AQC51" s="54"/>
      <c r="AQD51" s="54"/>
      <c r="AQE51" s="54"/>
      <c r="AQF51" s="54"/>
      <c r="AQG51" s="54"/>
      <c r="AQH51" s="54"/>
      <c r="AQI51" s="54"/>
      <c r="AQJ51" s="54"/>
      <c r="AQK51" s="54"/>
      <c r="AQL51" s="54"/>
      <c r="AQM51" s="54"/>
      <c r="AQN51" s="54"/>
      <c r="AQO51" s="54"/>
      <c r="AQP51" s="54"/>
      <c r="AQQ51" s="54"/>
      <c r="AQR51" s="54"/>
      <c r="AQS51" s="54"/>
      <c r="AQT51" s="54"/>
      <c r="AQU51" s="54"/>
      <c r="AQV51" s="54"/>
      <c r="AQW51" s="54"/>
      <c r="AQX51" s="54"/>
      <c r="AQY51" s="54"/>
      <c r="AQZ51" s="54"/>
      <c r="ARA51" s="54"/>
      <c r="ARB51" s="54"/>
      <c r="ARC51" s="54"/>
      <c r="ARD51" s="54"/>
      <c r="ARE51" s="54"/>
      <c r="ARF51" s="54"/>
      <c r="ARG51" s="54"/>
      <c r="ARH51" s="54"/>
      <c r="ARI51" s="54"/>
      <c r="ARJ51" s="54"/>
      <c r="ARK51" s="54"/>
      <c r="ARL51" s="54"/>
      <c r="ARM51" s="54"/>
      <c r="ARN51" s="54"/>
      <c r="ARO51" s="54"/>
      <c r="ARP51" s="54"/>
      <c r="ARQ51" s="54"/>
      <c r="ARR51" s="54"/>
      <c r="ARS51" s="54"/>
      <c r="ART51" s="54"/>
      <c r="ARU51" s="54"/>
      <c r="ARV51" s="54"/>
      <c r="ARW51" s="54"/>
      <c r="ARX51" s="54"/>
      <c r="ARY51" s="54"/>
      <c r="ARZ51" s="54"/>
      <c r="ASA51" s="54"/>
      <c r="ASB51" s="54"/>
      <c r="ASC51" s="54"/>
      <c r="ASD51" s="54"/>
      <c r="ASE51" s="54"/>
      <c r="ASF51" s="54"/>
      <c r="ASG51" s="54"/>
      <c r="ASH51" s="54"/>
      <c r="ASI51" s="54"/>
      <c r="ASJ51" s="54"/>
      <c r="ASK51" s="54"/>
      <c r="ASL51" s="54"/>
      <c r="ASM51" s="54"/>
      <c r="ASN51" s="54"/>
      <c r="ASO51" s="54"/>
      <c r="ASP51" s="54"/>
      <c r="ASQ51" s="54"/>
      <c r="ASR51" s="54"/>
      <c r="ASS51" s="54"/>
      <c r="AST51" s="54"/>
      <c r="ASU51" s="54"/>
      <c r="ASV51" s="54"/>
      <c r="ASW51" s="54"/>
      <c r="ASX51" s="54"/>
      <c r="ASY51" s="54"/>
      <c r="ASZ51" s="54"/>
      <c r="ATA51" s="54"/>
      <c r="ATB51" s="54"/>
      <c r="ATC51" s="54"/>
      <c r="ATD51" s="54"/>
      <c r="ATE51" s="54"/>
      <c r="ATF51" s="54"/>
      <c r="ATG51" s="54"/>
      <c r="ATH51" s="54"/>
      <c r="ATI51" s="54"/>
      <c r="ATJ51" s="54"/>
      <c r="ATK51" s="54"/>
      <c r="ATL51" s="54"/>
      <c r="ATM51" s="54"/>
      <c r="ATN51" s="54"/>
      <c r="ATO51" s="54"/>
      <c r="ATP51" s="54"/>
      <c r="ATQ51" s="54"/>
      <c r="ATR51" s="54"/>
      <c r="ATS51" s="54"/>
      <c r="ATT51" s="54"/>
      <c r="ATU51" s="54"/>
      <c r="ATV51" s="54"/>
      <c r="ATW51" s="54"/>
      <c r="ATX51" s="54"/>
      <c r="ATY51" s="54"/>
      <c r="ATZ51" s="54"/>
      <c r="AUA51" s="54"/>
      <c r="AUB51" s="54"/>
      <c r="AUC51" s="54"/>
      <c r="AUD51" s="54"/>
      <c r="AUE51" s="54"/>
      <c r="AUF51" s="54"/>
      <c r="AUG51" s="54"/>
      <c r="AUH51" s="54"/>
      <c r="AUI51" s="54"/>
      <c r="AUJ51" s="54"/>
      <c r="AUK51" s="54"/>
      <c r="AUL51" s="54"/>
      <c r="AUM51" s="54"/>
      <c r="AUN51" s="54"/>
      <c r="AUO51" s="54"/>
      <c r="AUP51" s="54"/>
      <c r="AUQ51" s="54"/>
      <c r="AUR51" s="54"/>
      <c r="AUS51" s="54"/>
      <c r="AUT51" s="54"/>
      <c r="AUU51" s="54"/>
      <c r="AUV51" s="54"/>
      <c r="AUW51" s="54"/>
      <c r="AUX51" s="54"/>
      <c r="AUY51" s="54"/>
      <c r="AUZ51" s="54"/>
      <c r="AVA51" s="54"/>
      <c r="AVB51" s="54"/>
      <c r="AVC51" s="54"/>
      <c r="AVD51" s="54"/>
      <c r="AVE51" s="54"/>
      <c r="AVF51" s="54"/>
      <c r="AVG51" s="54"/>
      <c r="AVH51" s="54"/>
      <c r="AVI51" s="54"/>
      <c r="AVJ51" s="54"/>
      <c r="AVK51" s="54"/>
      <c r="AVL51" s="54"/>
      <c r="AVM51" s="54"/>
      <c r="AVN51" s="54"/>
      <c r="AVO51" s="54"/>
      <c r="AVP51" s="54"/>
      <c r="AVQ51" s="54"/>
      <c r="AVR51" s="54"/>
      <c r="AVS51" s="54"/>
      <c r="AVT51" s="54"/>
      <c r="AVU51" s="54"/>
      <c r="AVV51" s="54"/>
      <c r="AVW51" s="54"/>
      <c r="AVX51" s="54"/>
      <c r="AVY51" s="54"/>
      <c r="AVZ51" s="54"/>
      <c r="AWA51" s="54"/>
      <c r="AWB51" s="54"/>
      <c r="AWC51" s="54"/>
      <c r="AWD51" s="54"/>
      <c r="AWE51" s="54"/>
      <c r="AWF51" s="54"/>
      <c r="AWG51" s="54"/>
      <c r="AWH51" s="54"/>
      <c r="AWI51" s="54"/>
      <c r="AWJ51" s="54"/>
      <c r="AWK51" s="54"/>
      <c r="AWL51" s="54"/>
      <c r="AWM51" s="54"/>
      <c r="AWN51" s="54"/>
      <c r="AWO51" s="54"/>
      <c r="AWP51" s="54"/>
      <c r="AWQ51" s="54"/>
      <c r="AWR51" s="54"/>
      <c r="AWS51" s="54"/>
      <c r="AWT51" s="54"/>
      <c r="AWU51" s="54"/>
      <c r="AWV51" s="54"/>
      <c r="AWW51" s="54"/>
      <c r="AWX51" s="54"/>
      <c r="AWY51" s="54"/>
      <c r="AWZ51" s="54"/>
      <c r="AXA51" s="54"/>
      <c r="AXB51" s="54"/>
      <c r="AXC51" s="54"/>
      <c r="AXD51" s="54"/>
      <c r="AXE51" s="54"/>
      <c r="AXF51" s="54"/>
      <c r="AXG51" s="54"/>
      <c r="AXH51" s="54"/>
      <c r="AXI51" s="54"/>
      <c r="AXJ51" s="54"/>
      <c r="AXK51" s="54"/>
      <c r="AXL51" s="54"/>
      <c r="AXM51" s="54"/>
      <c r="AXN51" s="54"/>
      <c r="AXO51" s="54"/>
      <c r="AXP51" s="54"/>
      <c r="AXQ51" s="54"/>
      <c r="AXR51" s="54"/>
      <c r="AXS51" s="54"/>
      <c r="AXT51" s="54"/>
      <c r="AXU51" s="54"/>
      <c r="AXV51" s="54"/>
      <c r="AXW51" s="54"/>
      <c r="AXX51" s="54"/>
      <c r="AXY51" s="54"/>
      <c r="AXZ51" s="54"/>
      <c r="AYA51" s="54"/>
      <c r="AYB51" s="54"/>
      <c r="AYC51" s="54"/>
      <c r="AYD51" s="54"/>
      <c r="AYE51" s="54"/>
      <c r="AYF51" s="54"/>
      <c r="AYG51" s="54"/>
      <c r="AYH51" s="54"/>
      <c r="AYI51" s="54"/>
      <c r="AYJ51" s="54"/>
      <c r="AYK51" s="54"/>
      <c r="AYL51" s="54"/>
      <c r="AYM51" s="54"/>
      <c r="AYN51" s="54"/>
      <c r="AYO51" s="54"/>
      <c r="AYP51" s="54"/>
      <c r="AYQ51" s="54"/>
      <c r="AYR51" s="54"/>
      <c r="AYS51" s="54"/>
      <c r="AYT51" s="54"/>
      <c r="AYU51" s="54"/>
      <c r="AYV51" s="54"/>
      <c r="AYW51" s="54"/>
      <c r="AYX51" s="54"/>
      <c r="AYY51" s="54"/>
      <c r="AYZ51" s="54"/>
      <c r="AZA51" s="54"/>
      <c r="AZB51" s="54"/>
      <c r="AZC51" s="54"/>
      <c r="AZD51" s="54"/>
      <c r="AZE51" s="54"/>
      <c r="AZF51" s="54"/>
      <c r="AZG51" s="54"/>
      <c r="AZH51" s="54"/>
      <c r="AZI51" s="54"/>
      <c r="AZJ51" s="54"/>
      <c r="AZK51" s="54"/>
      <c r="AZL51" s="54"/>
      <c r="AZM51" s="54"/>
      <c r="AZN51" s="54"/>
      <c r="AZO51" s="54"/>
      <c r="AZP51" s="54"/>
      <c r="AZQ51" s="54"/>
      <c r="AZR51" s="54"/>
      <c r="AZS51" s="54"/>
      <c r="AZT51" s="54"/>
      <c r="AZU51" s="54"/>
      <c r="AZV51" s="54"/>
      <c r="AZW51" s="54"/>
      <c r="AZX51" s="54"/>
      <c r="AZY51" s="54"/>
      <c r="AZZ51" s="54"/>
      <c r="BAA51" s="54"/>
      <c r="BAB51" s="54"/>
      <c r="BAC51" s="54"/>
      <c r="BAD51" s="54"/>
      <c r="BAE51" s="54"/>
      <c r="BAF51" s="54"/>
      <c r="BAG51" s="54"/>
      <c r="BAH51" s="54"/>
      <c r="BAI51" s="54"/>
      <c r="BAJ51" s="54"/>
      <c r="BAK51" s="54"/>
      <c r="BAL51" s="54"/>
      <c r="BAM51" s="54"/>
      <c r="BAN51" s="54"/>
      <c r="BAO51" s="54"/>
      <c r="BAP51" s="54"/>
      <c r="BAQ51" s="54"/>
      <c r="BAR51" s="54"/>
      <c r="BAS51" s="54"/>
      <c r="BAT51" s="54"/>
      <c r="BAU51" s="54"/>
      <c r="BAV51" s="54"/>
      <c r="BAW51" s="54"/>
      <c r="BAX51" s="54"/>
      <c r="BAY51" s="54"/>
      <c r="BAZ51" s="54"/>
      <c r="BBA51" s="54"/>
      <c r="BBB51" s="54"/>
      <c r="BBC51" s="54"/>
      <c r="BBD51" s="54"/>
      <c r="BBE51" s="54"/>
      <c r="BBF51" s="54"/>
      <c r="BBG51" s="54"/>
      <c r="BBH51" s="54"/>
      <c r="BBI51" s="54"/>
      <c r="BBJ51" s="54"/>
      <c r="BBK51" s="54"/>
      <c r="BBL51" s="54"/>
      <c r="BBM51" s="54"/>
      <c r="BBN51" s="54"/>
      <c r="BBO51" s="54"/>
      <c r="BBP51" s="54"/>
      <c r="BBQ51" s="54"/>
      <c r="BBR51" s="54"/>
      <c r="BBS51" s="54"/>
      <c r="BBT51" s="54"/>
      <c r="BBU51" s="54"/>
      <c r="BBV51" s="54"/>
      <c r="BBW51" s="54"/>
      <c r="BBX51" s="54"/>
      <c r="BBY51" s="54"/>
      <c r="BBZ51" s="54"/>
      <c r="BCA51" s="54"/>
      <c r="BCB51" s="54"/>
      <c r="BCC51" s="54"/>
      <c r="BCD51" s="54"/>
      <c r="BCE51" s="54"/>
      <c r="BCF51" s="54"/>
      <c r="BCG51" s="54"/>
      <c r="BCH51" s="54"/>
      <c r="BCI51" s="54"/>
      <c r="BCJ51" s="54"/>
      <c r="BCK51" s="54"/>
      <c r="BCL51" s="54"/>
      <c r="BCM51" s="54"/>
      <c r="BCN51" s="54"/>
      <c r="BCO51" s="54"/>
      <c r="BCP51" s="54"/>
      <c r="BCQ51" s="54"/>
      <c r="BCR51" s="54"/>
      <c r="BCS51" s="54"/>
      <c r="BCT51" s="54"/>
      <c r="BCU51" s="54"/>
      <c r="BCV51" s="54"/>
      <c r="BCW51" s="54"/>
      <c r="BCX51" s="54"/>
      <c r="BCY51" s="54"/>
      <c r="BCZ51" s="54"/>
      <c r="BDA51" s="54"/>
      <c r="BDB51" s="54"/>
      <c r="BDC51" s="54"/>
      <c r="BDD51" s="54"/>
      <c r="BDE51" s="54"/>
      <c r="BDF51" s="54"/>
      <c r="BDG51" s="54"/>
      <c r="BDH51" s="54"/>
      <c r="BDI51" s="54"/>
      <c r="BDJ51" s="54"/>
      <c r="BDK51" s="54"/>
      <c r="BDL51" s="54"/>
      <c r="BDM51" s="54"/>
      <c r="BDN51" s="54"/>
      <c r="BDO51" s="54"/>
      <c r="BDP51" s="54"/>
      <c r="BDQ51" s="54"/>
      <c r="BDR51" s="54"/>
      <c r="BDS51" s="54"/>
      <c r="BDT51" s="54"/>
      <c r="BDU51" s="54"/>
      <c r="BDV51" s="54"/>
      <c r="BDW51" s="54"/>
      <c r="BDX51" s="54"/>
      <c r="BDY51" s="54"/>
      <c r="BDZ51" s="54"/>
      <c r="BEA51" s="54"/>
      <c r="BEB51" s="54"/>
      <c r="BEC51" s="54"/>
      <c r="BED51" s="54"/>
      <c r="BEE51" s="54"/>
      <c r="BEF51" s="54"/>
      <c r="BEG51" s="54"/>
      <c r="BEH51" s="54"/>
      <c r="BEI51" s="54"/>
      <c r="BEJ51" s="54"/>
      <c r="BEK51" s="54"/>
      <c r="BEL51" s="54"/>
      <c r="BEM51" s="54"/>
      <c r="BEN51" s="54"/>
      <c r="BEO51" s="54"/>
      <c r="BEP51" s="54"/>
      <c r="BEQ51" s="54"/>
      <c r="BER51" s="54"/>
      <c r="BES51" s="54"/>
      <c r="BET51" s="54"/>
      <c r="BEU51" s="54"/>
      <c r="BEV51" s="54"/>
      <c r="BEW51" s="54"/>
      <c r="BEX51" s="54"/>
      <c r="BEY51" s="54"/>
      <c r="BEZ51" s="54"/>
      <c r="BFA51" s="54"/>
      <c r="BFB51" s="54"/>
      <c r="BFC51" s="54"/>
      <c r="BFD51" s="54"/>
      <c r="BFE51" s="54"/>
      <c r="BFF51" s="54"/>
      <c r="BFG51" s="54"/>
      <c r="BFH51" s="54"/>
      <c r="BFI51" s="54"/>
      <c r="BFJ51" s="54"/>
      <c r="BFK51" s="54"/>
      <c r="BFL51" s="54"/>
      <c r="BFM51" s="54"/>
      <c r="BFN51" s="54"/>
      <c r="BFO51" s="54"/>
      <c r="BFP51" s="54"/>
      <c r="BFQ51" s="54"/>
      <c r="BFR51" s="54"/>
      <c r="BFS51" s="54"/>
      <c r="BFT51" s="54"/>
      <c r="BFU51" s="54"/>
      <c r="BFV51" s="54"/>
      <c r="BFW51" s="54"/>
      <c r="BFX51" s="54"/>
      <c r="BFY51" s="54"/>
      <c r="BFZ51" s="54"/>
      <c r="BGA51" s="54"/>
      <c r="BGB51" s="54"/>
      <c r="BGC51" s="54"/>
      <c r="BGD51" s="54"/>
      <c r="BGE51" s="54"/>
      <c r="BGF51" s="54"/>
      <c r="BGG51" s="54"/>
      <c r="BGH51" s="54"/>
      <c r="BGI51" s="54"/>
      <c r="BGJ51" s="54"/>
      <c r="BGK51" s="54"/>
      <c r="BGL51" s="54"/>
      <c r="BGM51" s="54"/>
      <c r="BGN51" s="54"/>
      <c r="BGO51" s="54"/>
      <c r="BGP51" s="54"/>
      <c r="BGQ51" s="54"/>
      <c r="BGR51" s="54"/>
      <c r="BGS51" s="54"/>
      <c r="BGT51" s="54"/>
      <c r="BGU51" s="54"/>
      <c r="BGV51" s="54"/>
      <c r="BGW51" s="54"/>
      <c r="BGX51" s="54"/>
      <c r="BGY51" s="54"/>
      <c r="BGZ51" s="54"/>
      <c r="BHA51" s="54"/>
      <c r="BHB51" s="54"/>
      <c r="BHC51" s="54"/>
      <c r="BHD51" s="54"/>
      <c r="BHE51" s="54"/>
      <c r="BHF51" s="54"/>
      <c r="BHG51" s="54"/>
      <c r="BHH51" s="54"/>
      <c r="BHI51" s="54"/>
      <c r="BHJ51" s="54"/>
      <c r="BHK51" s="54"/>
      <c r="BHL51" s="54"/>
      <c r="BHM51" s="54"/>
      <c r="BHN51" s="54"/>
      <c r="BHO51" s="54"/>
      <c r="BHP51" s="54"/>
      <c r="BHQ51" s="54"/>
      <c r="BHR51" s="54"/>
      <c r="BHS51" s="54"/>
      <c r="BHT51" s="54"/>
      <c r="BHU51" s="54"/>
      <c r="BHV51" s="54"/>
      <c r="BHW51" s="54"/>
      <c r="BHX51" s="54"/>
      <c r="BHY51" s="54"/>
      <c r="BHZ51" s="54"/>
      <c r="BIA51" s="54"/>
      <c r="BIB51" s="54"/>
      <c r="BIC51" s="54"/>
      <c r="BID51" s="54"/>
      <c r="BIE51" s="54"/>
      <c r="BIF51" s="54"/>
      <c r="BIG51" s="54"/>
      <c r="BIH51" s="54"/>
      <c r="BII51" s="54"/>
      <c r="BIJ51" s="54"/>
      <c r="BIK51" s="54"/>
      <c r="BIL51" s="54"/>
      <c r="BIM51" s="54"/>
      <c r="BIN51" s="54"/>
      <c r="BIO51" s="54"/>
      <c r="BIP51" s="54"/>
      <c r="BIQ51" s="54"/>
      <c r="BIR51" s="54"/>
      <c r="BIS51" s="54"/>
      <c r="BIT51" s="54"/>
      <c r="BIU51" s="54"/>
      <c r="BIV51" s="54"/>
      <c r="BIW51" s="54"/>
      <c r="BIX51" s="54"/>
      <c r="BIY51" s="54"/>
      <c r="BIZ51" s="54"/>
      <c r="BJA51" s="54"/>
      <c r="BJB51" s="54"/>
      <c r="BJC51" s="54"/>
      <c r="BJD51" s="54"/>
      <c r="BJE51" s="54"/>
      <c r="BJF51" s="54"/>
      <c r="BJG51" s="54"/>
      <c r="BJH51" s="54"/>
      <c r="BJI51" s="54"/>
      <c r="BJJ51" s="54"/>
      <c r="BJK51" s="54"/>
      <c r="BJL51" s="54"/>
      <c r="BJM51" s="54"/>
      <c r="BJN51" s="54"/>
      <c r="BJO51" s="54"/>
      <c r="BJP51" s="54"/>
      <c r="BJQ51" s="54"/>
      <c r="BJR51" s="54"/>
      <c r="BJS51" s="54"/>
      <c r="BJT51" s="54"/>
      <c r="BJU51" s="54"/>
      <c r="BJV51" s="54"/>
      <c r="BJW51" s="54"/>
      <c r="BJX51" s="54"/>
      <c r="BJY51" s="54"/>
      <c r="BJZ51" s="54"/>
      <c r="BKA51" s="54"/>
      <c r="BKB51" s="54"/>
      <c r="BKC51" s="54"/>
      <c r="BKD51" s="54"/>
      <c r="BKE51" s="54"/>
      <c r="BKF51" s="54"/>
      <c r="BKG51" s="54"/>
      <c r="BKH51" s="54"/>
      <c r="BKI51" s="54"/>
      <c r="BKJ51" s="54"/>
      <c r="BKK51" s="54"/>
      <c r="BKL51" s="54"/>
      <c r="BKM51" s="54"/>
      <c r="BKN51" s="54"/>
      <c r="BKO51" s="54"/>
      <c r="BKP51" s="54"/>
      <c r="BKQ51" s="54"/>
      <c r="BKR51" s="54"/>
      <c r="BKS51" s="54"/>
      <c r="BKT51" s="54"/>
      <c r="BKU51" s="54"/>
      <c r="BKV51" s="54"/>
      <c r="BKW51" s="54"/>
      <c r="BKX51" s="54"/>
      <c r="BKY51" s="54"/>
      <c r="BKZ51" s="54"/>
      <c r="BLA51" s="54"/>
      <c r="BLB51" s="54"/>
      <c r="BLC51" s="54"/>
      <c r="BLD51" s="54"/>
      <c r="BLE51" s="54"/>
      <c r="BLF51" s="54"/>
      <c r="BLG51" s="54"/>
      <c r="BLH51" s="54"/>
      <c r="BLI51" s="54"/>
      <c r="BLJ51" s="54"/>
      <c r="BLK51" s="54"/>
      <c r="BLL51" s="54"/>
      <c r="BLM51" s="54"/>
      <c r="BLN51" s="54"/>
      <c r="BLO51" s="54"/>
      <c r="BLP51" s="54"/>
      <c r="BLQ51" s="54"/>
      <c r="BLR51" s="54"/>
      <c r="BLS51" s="54"/>
      <c r="BLT51" s="54"/>
      <c r="BLU51" s="54"/>
      <c r="BLV51" s="54"/>
      <c r="BLW51" s="54"/>
      <c r="BLX51" s="54"/>
      <c r="BLY51" s="54"/>
      <c r="BLZ51" s="54"/>
      <c r="BMA51" s="54"/>
      <c r="BMB51" s="54"/>
      <c r="BMC51" s="54"/>
      <c r="BMD51" s="54"/>
      <c r="BME51" s="54"/>
      <c r="BMF51" s="54"/>
      <c r="BMG51" s="54"/>
      <c r="BMH51" s="54"/>
      <c r="BMI51" s="54"/>
      <c r="BMJ51" s="54"/>
      <c r="BMK51" s="54"/>
      <c r="BML51" s="54"/>
      <c r="BMM51" s="54"/>
      <c r="BMN51" s="54"/>
      <c r="BMO51" s="54"/>
      <c r="BMP51" s="54"/>
      <c r="BMQ51" s="54"/>
      <c r="BMR51" s="54"/>
      <c r="BMS51" s="54"/>
      <c r="BMT51" s="54"/>
      <c r="BMU51" s="54"/>
      <c r="BMV51" s="54"/>
      <c r="BMW51" s="54"/>
      <c r="BMX51" s="54"/>
      <c r="BMY51" s="54"/>
      <c r="BMZ51" s="54"/>
      <c r="BNA51" s="54"/>
      <c r="BNB51" s="54"/>
      <c r="BNC51" s="54"/>
      <c r="BND51" s="54"/>
      <c r="BNE51" s="54"/>
      <c r="BNF51" s="54"/>
      <c r="BNG51" s="54"/>
      <c r="BNH51" s="54"/>
      <c r="BNI51" s="54"/>
      <c r="BNJ51" s="54"/>
      <c r="BNK51" s="54"/>
      <c r="BNL51" s="54"/>
      <c r="BNM51" s="54"/>
      <c r="BNN51" s="54"/>
      <c r="BNO51" s="54"/>
      <c r="BNP51" s="54"/>
      <c r="BNQ51" s="54"/>
      <c r="BNR51" s="54"/>
      <c r="BNS51" s="54"/>
      <c r="BNT51" s="54"/>
      <c r="BNU51" s="54"/>
      <c r="BNV51" s="54"/>
      <c r="BNW51" s="54"/>
      <c r="BNX51" s="54"/>
      <c r="BNY51" s="54"/>
      <c r="BNZ51" s="54"/>
      <c r="BOA51" s="54"/>
      <c r="BOB51" s="54"/>
      <c r="BOC51" s="54"/>
      <c r="BOD51" s="54"/>
      <c r="BOE51" s="54"/>
      <c r="BOF51" s="54"/>
      <c r="BOG51" s="54"/>
      <c r="BOH51" s="54"/>
      <c r="BOI51" s="54"/>
      <c r="BOJ51" s="54"/>
      <c r="BOK51" s="54"/>
      <c r="BOL51" s="54"/>
      <c r="BOM51" s="54"/>
      <c r="BON51" s="54"/>
      <c r="BOO51" s="54"/>
      <c r="BOP51" s="54"/>
      <c r="BOQ51" s="54"/>
      <c r="BOR51" s="54"/>
      <c r="BOS51" s="54"/>
      <c r="BOT51" s="54"/>
      <c r="BOU51" s="54"/>
      <c r="BOV51" s="54"/>
      <c r="BOW51" s="54"/>
      <c r="BOX51" s="54"/>
      <c r="BOY51" s="54"/>
      <c r="BOZ51" s="54"/>
      <c r="BPA51" s="54"/>
      <c r="BPB51" s="54"/>
      <c r="BPC51" s="54"/>
      <c r="BPD51" s="54"/>
      <c r="BPE51" s="54"/>
      <c r="BPF51" s="54"/>
      <c r="BPG51" s="54"/>
      <c r="BPH51" s="54"/>
      <c r="BPI51" s="54"/>
      <c r="BPJ51" s="54"/>
      <c r="BPK51" s="54"/>
      <c r="BPL51" s="54"/>
      <c r="BPM51" s="54"/>
      <c r="BPN51" s="54"/>
      <c r="BPO51" s="54"/>
      <c r="BPP51" s="54"/>
      <c r="BPQ51" s="54"/>
      <c r="BPR51" s="54"/>
      <c r="BPS51" s="54"/>
      <c r="BPT51" s="54"/>
      <c r="BPU51" s="54"/>
      <c r="BPV51" s="54"/>
      <c r="BPW51" s="54"/>
      <c r="BPX51" s="54"/>
      <c r="BPY51" s="54"/>
      <c r="BPZ51" s="54"/>
      <c r="BQA51" s="54"/>
      <c r="BQB51" s="54"/>
      <c r="BQC51" s="54"/>
      <c r="BQD51" s="54"/>
      <c r="BQE51" s="54"/>
      <c r="BQF51" s="54"/>
      <c r="BQG51" s="54"/>
      <c r="BQH51" s="54"/>
      <c r="BQI51" s="54"/>
      <c r="BQJ51" s="54"/>
      <c r="BQK51" s="54"/>
      <c r="BQL51" s="54"/>
      <c r="BQM51" s="54"/>
      <c r="BQN51" s="54"/>
      <c r="BQO51" s="54"/>
      <c r="BQP51" s="54"/>
      <c r="BQQ51" s="54"/>
      <c r="BQR51" s="54"/>
      <c r="BQS51" s="54"/>
      <c r="BQT51" s="54"/>
      <c r="BQU51" s="54"/>
      <c r="BQV51" s="54"/>
      <c r="BQW51" s="54"/>
      <c r="BQX51" s="54"/>
      <c r="BQY51" s="54"/>
      <c r="BQZ51" s="54"/>
      <c r="BRA51" s="54"/>
      <c r="BRB51" s="54"/>
      <c r="BRC51" s="54"/>
      <c r="BRD51" s="54"/>
      <c r="BRE51" s="54"/>
      <c r="BRF51" s="54"/>
      <c r="BRG51" s="54"/>
      <c r="BRH51" s="54"/>
      <c r="BRI51" s="54"/>
      <c r="BRJ51" s="54"/>
      <c r="BRK51" s="54"/>
      <c r="BRL51" s="54"/>
      <c r="BRM51" s="54"/>
      <c r="BRN51" s="54"/>
      <c r="BRO51" s="54"/>
      <c r="BRP51" s="54"/>
      <c r="BRQ51" s="54"/>
      <c r="BRR51" s="54"/>
      <c r="BRS51" s="54"/>
      <c r="BRT51" s="54"/>
      <c r="BRU51" s="54"/>
      <c r="BRV51" s="54"/>
      <c r="BRW51" s="54"/>
      <c r="BRX51" s="54"/>
      <c r="BRY51" s="54"/>
      <c r="BRZ51" s="54"/>
      <c r="BSA51" s="54"/>
      <c r="BSB51" s="54"/>
      <c r="BSC51" s="54"/>
      <c r="BSD51" s="54"/>
      <c r="BSE51" s="54"/>
      <c r="BSF51" s="54"/>
      <c r="BSG51" s="54"/>
      <c r="BSH51" s="54"/>
      <c r="BSI51" s="54"/>
      <c r="BSJ51" s="54"/>
      <c r="BSK51" s="54"/>
      <c r="BSL51" s="54"/>
      <c r="BSM51" s="54"/>
      <c r="BSN51" s="54"/>
      <c r="BSO51" s="54"/>
      <c r="BSP51" s="54"/>
      <c r="BSQ51" s="54"/>
      <c r="BSR51" s="54"/>
      <c r="BSS51" s="54"/>
      <c r="BST51" s="54"/>
      <c r="BSU51" s="54"/>
      <c r="BSV51" s="54"/>
      <c r="BSW51" s="54"/>
      <c r="BSX51" s="54"/>
      <c r="BSY51" s="54"/>
      <c r="BSZ51" s="54"/>
      <c r="BTA51" s="54"/>
      <c r="BTB51" s="54"/>
      <c r="BTC51" s="54"/>
      <c r="BTD51" s="54"/>
      <c r="BTE51" s="54"/>
      <c r="BTF51" s="54"/>
      <c r="BTG51" s="54"/>
      <c r="BTH51" s="54"/>
      <c r="BTI51" s="54"/>
      <c r="BTJ51" s="54"/>
      <c r="BTK51" s="54"/>
      <c r="BTL51" s="54"/>
      <c r="BTM51" s="54"/>
      <c r="BTN51" s="54"/>
      <c r="BTO51" s="54"/>
      <c r="BTP51" s="54"/>
      <c r="BTQ51" s="54"/>
      <c r="BTR51" s="54"/>
      <c r="BTS51" s="54"/>
      <c r="BTT51" s="54"/>
      <c r="BTU51" s="54"/>
      <c r="BTV51" s="54"/>
      <c r="BTW51" s="54"/>
      <c r="BTX51" s="54"/>
      <c r="BTY51" s="54"/>
      <c r="BTZ51" s="54"/>
      <c r="BUA51" s="54"/>
      <c r="BUB51" s="54"/>
      <c r="BUC51" s="54"/>
      <c r="BUD51" s="54"/>
      <c r="BUE51" s="54"/>
      <c r="BUF51" s="54"/>
      <c r="BUG51" s="54"/>
      <c r="BUH51" s="54"/>
      <c r="BUI51" s="54"/>
      <c r="BUJ51" s="54"/>
      <c r="BUK51" s="54"/>
      <c r="BUL51" s="54"/>
      <c r="BUM51" s="54"/>
      <c r="BUN51" s="54"/>
      <c r="BUO51" s="54"/>
      <c r="BUP51" s="54"/>
      <c r="BUQ51" s="54"/>
      <c r="BUR51" s="54"/>
      <c r="BUS51" s="54"/>
      <c r="BUT51" s="54"/>
      <c r="BUU51" s="54"/>
      <c r="BUV51" s="54"/>
      <c r="BUW51" s="54"/>
      <c r="BUX51" s="54"/>
      <c r="BUY51" s="54"/>
      <c r="BUZ51" s="54"/>
      <c r="BVA51" s="54"/>
      <c r="BVB51" s="54"/>
      <c r="BVC51" s="54"/>
      <c r="BVD51" s="54"/>
      <c r="BVE51" s="54"/>
      <c r="BVF51" s="54"/>
      <c r="BVG51" s="54"/>
      <c r="BVH51" s="54"/>
      <c r="BVI51" s="54"/>
      <c r="BVJ51" s="54"/>
      <c r="BVK51" s="54"/>
      <c r="BVL51" s="54"/>
      <c r="BVM51" s="54"/>
      <c r="BVN51" s="54"/>
      <c r="BVO51" s="54"/>
      <c r="BVP51" s="54"/>
      <c r="BVQ51" s="54"/>
      <c r="BVR51" s="54"/>
      <c r="BVS51" s="54"/>
      <c r="BVT51" s="54"/>
      <c r="BVU51" s="54"/>
      <c r="BVV51" s="54"/>
      <c r="BVW51" s="54"/>
      <c r="BVX51" s="54"/>
      <c r="BVY51" s="54"/>
      <c r="BVZ51" s="54"/>
      <c r="BWA51" s="54"/>
      <c r="BWB51" s="54"/>
      <c r="BWC51" s="54"/>
      <c r="BWD51" s="54"/>
      <c r="BWE51" s="54"/>
      <c r="BWF51" s="54"/>
      <c r="BWG51" s="54"/>
      <c r="BWH51" s="54"/>
      <c r="BWI51" s="54"/>
      <c r="BWJ51" s="54"/>
      <c r="BWK51" s="54"/>
      <c r="BWL51" s="54"/>
      <c r="BWM51" s="54"/>
      <c r="BWN51" s="54"/>
      <c r="BWO51" s="54"/>
      <c r="BWP51" s="54"/>
      <c r="BWQ51" s="54"/>
      <c r="BWR51" s="54"/>
      <c r="BWS51" s="54"/>
      <c r="BWT51" s="54"/>
      <c r="BWU51" s="54"/>
      <c r="BWV51" s="54"/>
      <c r="BWW51" s="54"/>
      <c r="BWX51" s="54"/>
      <c r="BWY51" s="54"/>
      <c r="BWZ51" s="54"/>
      <c r="BXA51" s="54"/>
      <c r="BXB51" s="54"/>
      <c r="BXC51" s="54"/>
      <c r="BXD51" s="54"/>
      <c r="BXE51" s="54"/>
      <c r="BXF51" s="54"/>
      <c r="BXG51" s="54"/>
      <c r="BXH51" s="54"/>
      <c r="BXI51" s="54"/>
      <c r="BXJ51" s="54"/>
      <c r="BXK51" s="54"/>
      <c r="BXL51" s="54"/>
      <c r="BXM51" s="54"/>
      <c r="BXN51" s="54"/>
      <c r="BXO51" s="54"/>
      <c r="BXP51" s="54"/>
      <c r="BXQ51" s="54"/>
      <c r="BXR51" s="54"/>
      <c r="BXS51" s="54"/>
      <c r="BXT51" s="54"/>
      <c r="BXU51" s="54"/>
      <c r="BXV51" s="54"/>
      <c r="BXW51" s="54"/>
      <c r="BXX51" s="54"/>
      <c r="BXY51" s="54"/>
      <c r="BXZ51" s="54"/>
      <c r="BYA51" s="54"/>
      <c r="BYB51" s="54"/>
      <c r="BYC51" s="54"/>
      <c r="BYD51" s="54"/>
      <c r="BYE51" s="54"/>
      <c r="BYF51" s="54"/>
      <c r="BYG51" s="54"/>
      <c r="BYH51" s="54"/>
      <c r="BYI51" s="54"/>
      <c r="BYJ51" s="54"/>
      <c r="BYK51" s="54"/>
      <c r="BYL51" s="54"/>
      <c r="BYM51" s="54"/>
      <c r="BYN51" s="54"/>
      <c r="BYO51" s="54"/>
      <c r="BYP51" s="54"/>
      <c r="BYQ51" s="54"/>
      <c r="BYR51" s="54"/>
      <c r="BYS51" s="54"/>
      <c r="BYT51" s="54"/>
      <c r="BYU51" s="54"/>
      <c r="BYV51" s="54"/>
      <c r="BYW51" s="54"/>
      <c r="BYX51" s="54"/>
      <c r="BYY51" s="54"/>
      <c r="BYZ51" s="54"/>
      <c r="BZA51" s="54"/>
      <c r="BZB51" s="54"/>
      <c r="BZC51" s="54"/>
      <c r="BZD51" s="54"/>
      <c r="BZE51" s="54"/>
      <c r="BZF51" s="54"/>
      <c r="BZG51" s="54"/>
      <c r="BZH51" s="54"/>
      <c r="BZI51" s="54"/>
      <c r="BZJ51" s="54"/>
      <c r="BZK51" s="54"/>
      <c r="BZL51" s="54"/>
      <c r="BZM51" s="54"/>
      <c r="BZN51" s="54"/>
      <c r="BZO51" s="54"/>
      <c r="BZP51" s="54"/>
      <c r="BZQ51" s="54"/>
      <c r="BZR51" s="54"/>
      <c r="BZS51" s="54"/>
      <c r="BZT51" s="54"/>
      <c r="BZU51" s="54"/>
      <c r="BZV51" s="54"/>
      <c r="BZW51" s="54"/>
      <c r="BZX51" s="54"/>
      <c r="BZY51" s="54"/>
      <c r="BZZ51" s="54"/>
      <c r="CAA51" s="54"/>
      <c r="CAB51" s="54"/>
      <c r="CAC51" s="54"/>
      <c r="CAD51" s="54"/>
      <c r="CAE51" s="54"/>
      <c r="CAF51" s="54"/>
      <c r="CAG51" s="54"/>
      <c r="CAH51" s="54"/>
      <c r="CAI51" s="54"/>
      <c r="CAJ51" s="54"/>
      <c r="CAK51" s="54"/>
      <c r="CAL51" s="54"/>
      <c r="CAM51" s="54"/>
      <c r="CAN51" s="54"/>
      <c r="CAO51" s="54"/>
      <c r="CAP51" s="54"/>
      <c r="CAQ51" s="54"/>
      <c r="CAR51" s="54"/>
      <c r="CAS51" s="54"/>
      <c r="CAT51" s="54"/>
      <c r="CAU51" s="54"/>
      <c r="CAV51" s="54"/>
      <c r="CAW51" s="54"/>
      <c r="CAX51" s="54"/>
      <c r="CAY51" s="54"/>
      <c r="CAZ51" s="54"/>
      <c r="CBA51" s="54"/>
      <c r="CBB51" s="54"/>
      <c r="CBC51" s="54"/>
      <c r="CBD51" s="54"/>
      <c r="CBE51" s="54"/>
      <c r="CBF51" s="54"/>
      <c r="CBG51" s="54"/>
      <c r="CBH51" s="54"/>
      <c r="CBI51" s="54"/>
      <c r="CBJ51" s="54"/>
      <c r="CBK51" s="54"/>
      <c r="CBL51" s="54"/>
      <c r="CBM51" s="54"/>
      <c r="CBN51" s="54"/>
      <c r="CBO51" s="54"/>
      <c r="CBP51" s="54"/>
      <c r="CBQ51" s="54"/>
      <c r="CBR51" s="54"/>
      <c r="CBS51" s="54"/>
      <c r="CBT51" s="54"/>
      <c r="CBU51" s="54"/>
      <c r="CBV51" s="54"/>
      <c r="CBW51" s="54"/>
      <c r="CBX51" s="54"/>
      <c r="CBY51" s="54"/>
      <c r="CBZ51" s="54"/>
      <c r="CCA51" s="54"/>
      <c r="CCB51" s="54"/>
      <c r="CCC51" s="54"/>
      <c r="CCD51" s="54"/>
      <c r="CCE51" s="54"/>
      <c r="CCF51" s="54"/>
      <c r="CCG51" s="54"/>
      <c r="CCH51" s="54"/>
      <c r="CCI51" s="54"/>
      <c r="CCJ51" s="54"/>
      <c r="CCK51" s="54"/>
      <c r="CCL51" s="54"/>
      <c r="CCM51" s="54"/>
      <c r="CCN51" s="54"/>
      <c r="CCO51" s="54"/>
      <c r="CCP51" s="54"/>
      <c r="CCQ51" s="54"/>
      <c r="CCR51" s="54"/>
      <c r="CCS51" s="54"/>
      <c r="CCT51" s="54"/>
      <c r="CCU51" s="54"/>
      <c r="CCV51" s="54"/>
      <c r="CCW51" s="54"/>
      <c r="CCX51" s="54"/>
      <c r="CCY51" s="54"/>
      <c r="CCZ51" s="54"/>
      <c r="CDA51" s="54"/>
      <c r="CDB51" s="54"/>
      <c r="CDC51" s="54"/>
      <c r="CDD51" s="54"/>
      <c r="CDE51" s="54"/>
      <c r="CDF51" s="54"/>
      <c r="CDG51" s="54"/>
      <c r="CDH51" s="54"/>
      <c r="CDI51" s="54"/>
      <c r="CDJ51" s="54"/>
      <c r="CDK51" s="54"/>
      <c r="CDL51" s="54"/>
      <c r="CDM51" s="54"/>
      <c r="CDN51" s="54"/>
      <c r="CDO51" s="54"/>
      <c r="CDP51" s="54"/>
      <c r="CDQ51" s="54"/>
      <c r="CDR51" s="54"/>
      <c r="CDS51" s="54"/>
      <c r="CDT51" s="54"/>
      <c r="CDU51" s="54"/>
      <c r="CDV51" s="54"/>
      <c r="CDW51" s="54"/>
      <c r="CDX51" s="54"/>
      <c r="CDY51" s="54"/>
      <c r="CDZ51" s="54"/>
      <c r="CEA51" s="54"/>
      <c r="CEB51" s="54"/>
      <c r="CEC51" s="54"/>
      <c r="CED51" s="54"/>
      <c r="CEE51" s="54"/>
      <c r="CEF51" s="54"/>
      <c r="CEG51" s="54"/>
      <c r="CEH51" s="54"/>
      <c r="CEI51" s="54"/>
      <c r="CEJ51" s="54"/>
      <c r="CEK51" s="54"/>
      <c r="CEL51" s="54"/>
      <c r="CEM51" s="54"/>
      <c r="CEN51" s="54"/>
      <c r="CEO51" s="54"/>
      <c r="CEP51" s="54"/>
      <c r="CEQ51" s="54"/>
    </row>
    <row r="52" spans="1:2183" s="13" customFormat="1" ht="31.5" customHeight="1" thickTop="1" thickBot="1" x14ac:dyDescent="0.3">
      <c r="A52" s="449" t="s">
        <v>1758</v>
      </c>
      <c r="B52" s="449" t="s">
        <v>1724</v>
      </c>
      <c r="C52" s="654" t="s">
        <v>179</v>
      </c>
      <c r="D52" s="490">
        <v>3</v>
      </c>
      <c r="E52" s="490">
        <v>30</v>
      </c>
      <c r="F52" s="490">
        <v>3</v>
      </c>
      <c r="G52" s="490">
        <v>520</v>
      </c>
      <c r="H52" s="456">
        <v>300000000</v>
      </c>
      <c r="I52" s="450">
        <v>0</v>
      </c>
      <c r="J52" s="334" t="s">
        <v>1762</v>
      </c>
      <c r="K52" s="491" t="s">
        <v>25</v>
      </c>
      <c r="L52" s="491">
        <v>6</v>
      </c>
      <c r="M52" s="491">
        <v>0</v>
      </c>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4"/>
      <c r="FN52" s="54"/>
      <c r="FO52" s="54"/>
      <c r="FP52" s="54"/>
      <c r="FQ52" s="54"/>
      <c r="FR52" s="54"/>
      <c r="FS52" s="54"/>
      <c r="FT52" s="54"/>
      <c r="FU52" s="54"/>
      <c r="FV52" s="54"/>
      <c r="FW52" s="54"/>
      <c r="FX52" s="54"/>
      <c r="FY52" s="54"/>
      <c r="FZ52" s="54"/>
      <c r="GA52" s="54"/>
      <c r="GB52" s="54"/>
      <c r="GC52" s="54"/>
      <c r="GD52" s="54"/>
      <c r="GE52" s="54"/>
      <c r="GF52" s="54"/>
      <c r="GG52" s="54"/>
      <c r="GH52" s="54"/>
      <c r="GI52" s="54"/>
      <c r="GJ52" s="54"/>
      <c r="GK52" s="54"/>
      <c r="GL52" s="54"/>
      <c r="GM52" s="54"/>
      <c r="GN52" s="54"/>
      <c r="GO52" s="54"/>
      <c r="GP52" s="54"/>
      <c r="GQ52" s="54"/>
      <c r="GR52" s="54"/>
      <c r="GS52" s="54"/>
      <c r="GT52" s="54"/>
      <c r="GU52" s="54"/>
      <c r="GV52" s="54"/>
      <c r="GW52" s="54"/>
      <c r="GX52" s="54"/>
      <c r="GY52" s="54"/>
      <c r="GZ52" s="54"/>
      <c r="HA52" s="54"/>
      <c r="HB52" s="54"/>
      <c r="HC52" s="54"/>
      <c r="HD52" s="54"/>
      <c r="HE52" s="54"/>
      <c r="HF52" s="54"/>
      <c r="HG52" s="54"/>
      <c r="HH52" s="54"/>
      <c r="HI52" s="54"/>
      <c r="HJ52" s="54"/>
      <c r="HK52" s="54"/>
      <c r="HL52" s="54"/>
      <c r="HM52" s="54"/>
      <c r="HN52" s="54"/>
      <c r="HO52" s="54"/>
      <c r="HP52" s="54"/>
      <c r="HQ52" s="54"/>
      <c r="HR52" s="54"/>
      <c r="HS52" s="54"/>
      <c r="HT52" s="54"/>
      <c r="HU52" s="54"/>
      <c r="HV52" s="54"/>
      <c r="HW52" s="54"/>
      <c r="HX52" s="54"/>
      <c r="HY52" s="54"/>
      <c r="HZ52" s="54"/>
      <c r="IA52" s="54"/>
      <c r="IB52" s="54"/>
      <c r="IC52" s="54"/>
      <c r="ID52" s="54"/>
      <c r="IE52" s="54"/>
      <c r="IF52" s="54"/>
      <c r="IG52" s="54"/>
      <c r="IH52" s="54"/>
      <c r="II52" s="54"/>
      <c r="IJ52" s="54"/>
      <c r="IK52" s="54"/>
      <c r="IL52" s="54"/>
      <c r="IM52" s="54"/>
      <c r="IN52" s="54"/>
      <c r="IO52" s="54"/>
      <c r="IP52" s="54"/>
      <c r="IQ52" s="54"/>
      <c r="IR52" s="54"/>
      <c r="IS52" s="54"/>
      <c r="IT52" s="54"/>
      <c r="IU52" s="54"/>
      <c r="IV52" s="54"/>
      <c r="IW52" s="54"/>
      <c r="IX52" s="54"/>
      <c r="IY52" s="54"/>
      <c r="IZ52" s="54"/>
      <c r="JA52" s="54"/>
      <c r="JB52" s="54"/>
      <c r="JC52" s="54"/>
      <c r="JD52" s="54"/>
      <c r="JE52" s="54"/>
      <c r="JF52" s="54"/>
      <c r="JG52" s="54"/>
      <c r="JH52" s="54"/>
      <c r="JI52" s="54"/>
      <c r="JJ52" s="54"/>
      <c r="JK52" s="54"/>
      <c r="JL52" s="54"/>
      <c r="JM52" s="54"/>
      <c r="JN52" s="54"/>
      <c r="JO52" s="54"/>
      <c r="JP52" s="54"/>
      <c r="JQ52" s="54"/>
      <c r="JR52" s="54"/>
      <c r="JS52" s="54"/>
      <c r="JT52" s="54"/>
      <c r="JU52" s="54"/>
      <c r="JV52" s="54"/>
      <c r="JW52" s="54"/>
      <c r="JX52" s="54"/>
      <c r="JY52" s="54"/>
      <c r="JZ52" s="54"/>
      <c r="KA52" s="54"/>
      <c r="KB52" s="54"/>
      <c r="KC52" s="54"/>
      <c r="KD52" s="54"/>
      <c r="KE52" s="54"/>
      <c r="KF52" s="54"/>
      <c r="KG52" s="54"/>
      <c r="KH52" s="54"/>
      <c r="KI52" s="54"/>
      <c r="KJ52" s="54"/>
      <c r="KK52" s="54"/>
      <c r="KL52" s="54"/>
      <c r="KM52" s="54"/>
      <c r="KN52" s="54"/>
      <c r="KO52" s="54"/>
      <c r="KP52" s="54"/>
      <c r="KQ52" s="54"/>
      <c r="KR52" s="54"/>
      <c r="KS52" s="54"/>
      <c r="KT52" s="54"/>
      <c r="KU52" s="54"/>
      <c r="KV52" s="54"/>
      <c r="KW52" s="54"/>
      <c r="KX52" s="54"/>
      <c r="KY52" s="54"/>
      <c r="KZ52" s="54"/>
      <c r="LA52" s="54"/>
      <c r="LB52" s="54"/>
      <c r="LC52" s="54"/>
      <c r="LD52" s="54"/>
      <c r="LE52" s="54"/>
      <c r="LF52" s="54"/>
      <c r="LG52" s="54"/>
      <c r="LH52" s="54"/>
      <c r="LI52" s="54"/>
      <c r="LJ52" s="54"/>
      <c r="LK52" s="54"/>
      <c r="LL52" s="54"/>
      <c r="LM52" s="54"/>
      <c r="LN52" s="54"/>
      <c r="LO52" s="54"/>
      <c r="LP52" s="54"/>
      <c r="LQ52" s="54"/>
      <c r="LR52" s="54"/>
      <c r="LS52" s="54"/>
      <c r="LT52" s="54"/>
      <c r="LU52" s="54"/>
      <c r="LV52" s="54"/>
      <c r="LW52" s="54"/>
      <c r="LX52" s="54"/>
      <c r="LY52" s="54"/>
      <c r="LZ52" s="54"/>
      <c r="MA52" s="54"/>
      <c r="MB52" s="54"/>
      <c r="MC52" s="54"/>
      <c r="MD52" s="54"/>
      <c r="ME52" s="54"/>
      <c r="MF52" s="54"/>
      <c r="MG52" s="54"/>
      <c r="MH52" s="54"/>
      <c r="MI52" s="54"/>
      <c r="MJ52" s="54"/>
      <c r="MK52" s="54"/>
      <c r="ML52" s="54"/>
      <c r="MM52" s="54"/>
      <c r="MN52" s="54"/>
      <c r="MO52" s="54"/>
      <c r="MP52" s="54"/>
      <c r="MQ52" s="54"/>
      <c r="MR52" s="54"/>
      <c r="MS52" s="54"/>
      <c r="MT52" s="54"/>
      <c r="MU52" s="54"/>
      <c r="MV52" s="54"/>
      <c r="MW52" s="54"/>
      <c r="MX52" s="54"/>
      <c r="MY52" s="54"/>
      <c r="MZ52" s="54"/>
      <c r="NA52" s="54"/>
      <c r="NB52" s="54"/>
      <c r="NC52" s="54"/>
      <c r="ND52" s="54"/>
      <c r="NE52" s="54"/>
      <c r="NF52" s="54"/>
      <c r="NG52" s="54"/>
      <c r="NH52" s="54"/>
      <c r="NI52" s="54"/>
      <c r="NJ52" s="54"/>
      <c r="NK52" s="54"/>
      <c r="NL52" s="54"/>
      <c r="NM52" s="54"/>
      <c r="NN52" s="54"/>
      <c r="NO52" s="54"/>
      <c r="NP52" s="54"/>
      <c r="NQ52" s="54"/>
      <c r="NR52" s="54"/>
      <c r="NS52" s="54"/>
      <c r="NT52" s="54"/>
      <c r="NU52" s="54"/>
      <c r="NV52" s="54"/>
      <c r="NW52" s="54"/>
      <c r="NX52" s="54"/>
      <c r="NY52" s="54"/>
      <c r="NZ52" s="54"/>
      <c r="OA52" s="54"/>
      <c r="OB52" s="54"/>
      <c r="OC52" s="54"/>
      <c r="OD52" s="54"/>
      <c r="OE52" s="54"/>
      <c r="OF52" s="54"/>
      <c r="OG52" s="54"/>
      <c r="OH52" s="54"/>
      <c r="OI52" s="54"/>
      <c r="OJ52" s="54"/>
      <c r="OK52" s="54"/>
      <c r="OL52" s="54"/>
      <c r="OM52" s="54"/>
      <c r="ON52" s="54"/>
      <c r="OO52" s="54"/>
      <c r="OP52" s="54"/>
      <c r="OQ52" s="54"/>
      <c r="OR52" s="54"/>
      <c r="OS52" s="54"/>
      <c r="OT52" s="54"/>
      <c r="OU52" s="54"/>
      <c r="OV52" s="54"/>
      <c r="OW52" s="54"/>
      <c r="OX52" s="54"/>
      <c r="OY52" s="54"/>
      <c r="OZ52" s="54"/>
      <c r="PA52" s="54"/>
      <c r="PB52" s="54"/>
      <c r="PC52" s="54"/>
      <c r="PD52" s="54"/>
      <c r="PE52" s="54"/>
      <c r="PF52" s="54"/>
      <c r="PG52" s="54"/>
      <c r="PH52" s="54"/>
      <c r="PI52" s="54"/>
      <c r="PJ52" s="54"/>
      <c r="PK52" s="54"/>
      <c r="PL52" s="54"/>
      <c r="PM52" s="54"/>
      <c r="PN52" s="54"/>
      <c r="PO52" s="54"/>
      <c r="PP52" s="54"/>
      <c r="PQ52" s="54"/>
      <c r="PR52" s="54"/>
      <c r="PS52" s="54"/>
      <c r="PT52" s="54"/>
      <c r="PU52" s="54"/>
      <c r="PV52" s="54"/>
      <c r="PW52" s="54"/>
      <c r="PX52" s="54"/>
      <c r="PY52" s="54"/>
      <c r="PZ52" s="54"/>
      <c r="QA52" s="54"/>
      <c r="QB52" s="54"/>
      <c r="QC52" s="54"/>
      <c r="QD52" s="54"/>
      <c r="QE52" s="54"/>
      <c r="QF52" s="54"/>
      <c r="QG52" s="54"/>
      <c r="QH52" s="54"/>
      <c r="QI52" s="54"/>
      <c r="QJ52" s="54"/>
      <c r="QK52" s="54"/>
      <c r="QL52" s="54"/>
      <c r="QM52" s="54"/>
      <c r="QN52" s="54"/>
      <c r="QO52" s="54"/>
      <c r="QP52" s="54"/>
      <c r="QQ52" s="54"/>
      <c r="QR52" s="54"/>
      <c r="QS52" s="54"/>
      <c r="QT52" s="54"/>
      <c r="QU52" s="54"/>
      <c r="QV52" s="54"/>
      <c r="QW52" s="54"/>
      <c r="QX52" s="54"/>
      <c r="QY52" s="54"/>
      <c r="QZ52" s="54"/>
      <c r="RA52" s="54"/>
      <c r="RB52" s="54"/>
      <c r="RC52" s="54"/>
      <c r="RD52" s="54"/>
      <c r="RE52" s="54"/>
      <c r="RF52" s="54"/>
      <c r="RG52" s="54"/>
      <c r="RH52" s="54"/>
      <c r="RI52" s="54"/>
      <c r="RJ52" s="54"/>
      <c r="RK52" s="54"/>
      <c r="RL52" s="54"/>
      <c r="RM52" s="54"/>
      <c r="RN52" s="54"/>
      <c r="RO52" s="54"/>
      <c r="RP52" s="54"/>
      <c r="RQ52" s="54"/>
      <c r="RR52" s="54"/>
      <c r="RS52" s="54"/>
      <c r="RT52" s="54"/>
      <c r="RU52" s="54"/>
      <c r="RV52" s="54"/>
      <c r="RW52" s="54"/>
      <c r="RX52" s="54"/>
      <c r="RY52" s="54"/>
      <c r="RZ52" s="54"/>
      <c r="SA52" s="54"/>
      <c r="SB52" s="54"/>
      <c r="SC52" s="54"/>
      <c r="SD52" s="54"/>
      <c r="SE52" s="54"/>
      <c r="SF52" s="54"/>
      <c r="SG52" s="54"/>
      <c r="SH52" s="54"/>
      <c r="SI52" s="54"/>
      <c r="SJ52" s="54"/>
      <c r="SK52" s="54"/>
      <c r="SL52" s="54"/>
      <c r="SM52" s="54"/>
      <c r="SN52" s="54"/>
      <c r="SO52" s="54"/>
      <c r="SP52" s="54"/>
      <c r="SQ52" s="54"/>
      <c r="SR52" s="54"/>
      <c r="SS52" s="54"/>
      <c r="ST52" s="54"/>
      <c r="SU52" s="54"/>
      <c r="SV52" s="54"/>
      <c r="SW52" s="54"/>
      <c r="SX52" s="54"/>
      <c r="SY52" s="54"/>
      <c r="SZ52" s="54"/>
      <c r="TA52" s="54"/>
      <c r="TB52" s="54"/>
      <c r="TC52" s="54"/>
      <c r="TD52" s="54"/>
      <c r="TE52" s="54"/>
      <c r="TF52" s="54"/>
      <c r="TG52" s="54"/>
      <c r="TH52" s="54"/>
      <c r="TI52" s="54"/>
      <c r="TJ52" s="54"/>
      <c r="TK52" s="54"/>
      <c r="TL52" s="54"/>
      <c r="TM52" s="54"/>
      <c r="TN52" s="54"/>
      <c r="TO52" s="54"/>
      <c r="TP52" s="54"/>
      <c r="TQ52" s="54"/>
      <c r="TR52" s="54"/>
      <c r="TS52" s="54"/>
      <c r="TT52" s="54"/>
      <c r="TU52" s="54"/>
      <c r="TV52" s="54"/>
      <c r="TW52" s="54"/>
      <c r="TX52" s="54"/>
      <c r="TY52" s="54"/>
      <c r="TZ52" s="54"/>
      <c r="UA52" s="54"/>
      <c r="UB52" s="54"/>
      <c r="UC52" s="54"/>
      <c r="UD52" s="54"/>
      <c r="UE52" s="54"/>
      <c r="UF52" s="54"/>
      <c r="UG52" s="54"/>
      <c r="UH52" s="54"/>
      <c r="UI52" s="54"/>
      <c r="UJ52" s="54"/>
      <c r="UK52" s="54"/>
      <c r="UL52" s="54"/>
      <c r="UM52" s="54"/>
      <c r="UN52" s="54"/>
      <c r="UO52" s="54"/>
      <c r="UP52" s="54"/>
      <c r="UQ52" s="54"/>
      <c r="UR52" s="54"/>
      <c r="US52" s="54"/>
      <c r="UT52" s="54"/>
      <c r="UU52" s="54"/>
      <c r="UV52" s="54"/>
      <c r="UW52" s="54"/>
      <c r="UX52" s="54"/>
      <c r="UY52" s="54"/>
      <c r="UZ52" s="54"/>
      <c r="VA52" s="54"/>
      <c r="VB52" s="54"/>
      <c r="VC52" s="54"/>
      <c r="VD52" s="54"/>
      <c r="VE52" s="54"/>
      <c r="VF52" s="54"/>
      <c r="VG52" s="54"/>
      <c r="VH52" s="54"/>
      <c r="VI52" s="54"/>
      <c r="VJ52" s="54"/>
      <c r="VK52" s="54"/>
      <c r="VL52" s="54"/>
      <c r="VM52" s="54"/>
      <c r="VN52" s="54"/>
      <c r="VO52" s="54"/>
      <c r="VP52" s="54"/>
      <c r="VQ52" s="54"/>
      <c r="VR52" s="54"/>
      <c r="VS52" s="54"/>
      <c r="VT52" s="54"/>
      <c r="VU52" s="54"/>
      <c r="VV52" s="54"/>
      <c r="VW52" s="54"/>
      <c r="VX52" s="54"/>
      <c r="VY52" s="54"/>
      <c r="VZ52" s="54"/>
      <c r="WA52" s="54"/>
      <c r="WB52" s="54"/>
      <c r="WC52" s="54"/>
      <c r="WD52" s="54"/>
      <c r="WE52" s="54"/>
      <c r="WF52" s="54"/>
      <c r="WG52" s="54"/>
      <c r="WH52" s="54"/>
      <c r="WI52" s="54"/>
      <c r="WJ52" s="54"/>
      <c r="WK52" s="54"/>
      <c r="WL52" s="54"/>
      <c r="WM52" s="54"/>
      <c r="WN52" s="54"/>
      <c r="WO52" s="54"/>
      <c r="WP52" s="54"/>
      <c r="WQ52" s="54"/>
      <c r="WR52" s="54"/>
      <c r="WS52" s="54"/>
      <c r="WT52" s="54"/>
      <c r="WU52" s="54"/>
      <c r="WV52" s="54"/>
      <c r="WW52" s="54"/>
      <c r="WX52" s="54"/>
      <c r="WY52" s="54"/>
      <c r="WZ52" s="54"/>
      <c r="XA52" s="54"/>
      <c r="XB52" s="54"/>
      <c r="XC52" s="54"/>
      <c r="XD52" s="54"/>
      <c r="XE52" s="54"/>
      <c r="XF52" s="54"/>
      <c r="XG52" s="54"/>
      <c r="XH52" s="54"/>
      <c r="XI52" s="54"/>
      <c r="XJ52" s="54"/>
      <c r="XK52" s="54"/>
      <c r="XL52" s="54"/>
      <c r="XM52" s="54"/>
      <c r="XN52" s="54"/>
      <c r="XO52" s="54"/>
      <c r="XP52" s="54"/>
      <c r="XQ52" s="54"/>
      <c r="XR52" s="54"/>
      <c r="XS52" s="54"/>
      <c r="XT52" s="54"/>
      <c r="XU52" s="54"/>
      <c r="XV52" s="54"/>
      <c r="XW52" s="54"/>
      <c r="XX52" s="54"/>
      <c r="XY52" s="54"/>
      <c r="XZ52" s="54"/>
      <c r="YA52" s="54"/>
      <c r="YB52" s="54"/>
      <c r="YC52" s="54"/>
      <c r="YD52" s="54"/>
      <c r="YE52" s="54"/>
      <c r="YF52" s="54"/>
      <c r="YG52" s="54"/>
      <c r="YH52" s="54"/>
      <c r="YI52" s="54"/>
      <c r="YJ52" s="54"/>
      <c r="YK52" s="54"/>
      <c r="YL52" s="54"/>
      <c r="YM52" s="54"/>
      <c r="YN52" s="54"/>
      <c r="YO52" s="54"/>
      <c r="YP52" s="54"/>
      <c r="YQ52" s="54"/>
      <c r="YR52" s="54"/>
      <c r="YS52" s="54"/>
      <c r="YT52" s="54"/>
      <c r="YU52" s="54"/>
      <c r="YV52" s="54"/>
      <c r="YW52" s="54"/>
      <c r="YX52" s="54"/>
      <c r="YY52" s="54"/>
      <c r="YZ52" s="54"/>
      <c r="ZA52" s="54"/>
      <c r="ZB52" s="54"/>
      <c r="ZC52" s="54"/>
      <c r="ZD52" s="54"/>
      <c r="ZE52" s="54"/>
      <c r="ZF52" s="54"/>
      <c r="ZG52" s="54"/>
      <c r="ZH52" s="54"/>
      <c r="ZI52" s="54"/>
      <c r="ZJ52" s="54"/>
      <c r="ZK52" s="54"/>
      <c r="ZL52" s="54"/>
      <c r="ZM52" s="54"/>
      <c r="ZN52" s="54"/>
      <c r="ZO52" s="54"/>
      <c r="ZP52" s="54"/>
      <c r="ZQ52" s="54"/>
      <c r="ZR52" s="54"/>
      <c r="ZS52" s="54"/>
      <c r="ZT52" s="54"/>
      <c r="ZU52" s="54"/>
      <c r="ZV52" s="54"/>
      <c r="ZW52" s="54"/>
      <c r="ZX52" s="54"/>
      <c r="ZY52" s="54"/>
      <c r="ZZ52" s="54"/>
      <c r="AAA52" s="54"/>
      <c r="AAB52" s="54"/>
      <c r="AAC52" s="54"/>
      <c r="AAD52" s="54"/>
      <c r="AAE52" s="54"/>
      <c r="AAF52" s="54"/>
      <c r="AAG52" s="54"/>
      <c r="AAH52" s="54"/>
      <c r="AAI52" s="54"/>
      <c r="AAJ52" s="54"/>
      <c r="AAK52" s="54"/>
      <c r="AAL52" s="54"/>
      <c r="AAM52" s="54"/>
      <c r="AAN52" s="54"/>
      <c r="AAO52" s="54"/>
      <c r="AAP52" s="54"/>
      <c r="AAQ52" s="54"/>
      <c r="AAR52" s="54"/>
      <c r="AAS52" s="54"/>
      <c r="AAT52" s="54"/>
      <c r="AAU52" s="54"/>
      <c r="AAV52" s="54"/>
      <c r="AAW52" s="54"/>
      <c r="AAX52" s="54"/>
      <c r="AAY52" s="54"/>
      <c r="AAZ52" s="54"/>
      <c r="ABA52" s="54"/>
      <c r="ABB52" s="54"/>
      <c r="ABC52" s="54"/>
      <c r="ABD52" s="54"/>
      <c r="ABE52" s="54"/>
      <c r="ABF52" s="54"/>
      <c r="ABG52" s="54"/>
      <c r="ABH52" s="54"/>
      <c r="ABI52" s="54"/>
      <c r="ABJ52" s="54"/>
      <c r="ABK52" s="54"/>
      <c r="ABL52" s="54"/>
      <c r="ABM52" s="54"/>
      <c r="ABN52" s="54"/>
      <c r="ABO52" s="54"/>
      <c r="ABP52" s="54"/>
      <c r="ABQ52" s="54"/>
      <c r="ABR52" s="54"/>
      <c r="ABS52" s="54"/>
      <c r="ABT52" s="54"/>
      <c r="ABU52" s="54"/>
      <c r="ABV52" s="54"/>
      <c r="ABW52" s="54"/>
      <c r="ABX52" s="54"/>
      <c r="ABY52" s="54"/>
      <c r="ABZ52" s="54"/>
      <c r="ACA52" s="54"/>
      <c r="ACB52" s="54"/>
      <c r="ACC52" s="54"/>
      <c r="ACD52" s="54"/>
      <c r="ACE52" s="54"/>
      <c r="ACF52" s="54"/>
      <c r="ACG52" s="54"/>
      <c r="ACH52" s="54"/>
      <c r="ACI52" s="54"/>
      <c r="ACJ52" s="54"/>
      <c r="ACK52" s="54"/>
      <c r="ACL52" s="54"/>
      <c r="ACM52" s="54"/>
      <c r="ACN52" s="54"/>
      <c r="ACO52" s="54"/>
      <c r="ACP52" s="54"/>
      <c r="ACQ52" s="54"/>
      <c r="ACR52" s="54"/>
      <c r="ACS52" s="54"/>
      <c r="ACT52" s="54"/>
      <c r="ACU52" s="54"/>
      <c r="ACV52" s="54"/>
      <c r="ACW52" s="54"/>
      <c r="ACX52" s="54"/>
      <c r="ACY52" s="54"/>
      <c r="ACZ52" s="54"/>
      <c r="ADA52" s="54"/>
      <c r="ADB52" s="54"/>
      <c r="ADC52" s="54"/>
      <c r="ADD52" s="54"/>
      <c r="ADE52" s="54"/>
      <c r="ADF52" s="54"/>
      <c r="ADG52" s="54"/>
      <c r="ADH52" s="54"/>
      <c r="ADI52" s="54"/>
      <c r="ADJ52" s="54"/>
      <c r="ADK52" s="54"/>
      <c r="ADL52" s="54"/>
      <c r="ADM52" s="54"/>
      <c r="ADN52" s="54"/>
      <c r="ADO52" s="54"/>
      <c r="ADP52" s="54"/>
      <c r="ADQ52" s="54"/>
      <c r="ADR52" s="54"/>
      <c r="ADS52" s="54"/>
      <c r="ADT52" s="54"/>
      <c r="ADU52" s="54"/>
      <c r="ADV52" s="54"/>
      <c r="ADW52" s="54"/>
      <c r="ADX52" s="54"/>
      <c r="ADY52" s="54"/>
      <c r="ADZ52" s="54"/>
      <c r="AEA52" s="54"/>
      <c r="AEB52" s="54"/>
      <c r="AEC52" s="54"/>
      <c r="AED52" s="54"/>
      <c r="AEE52" s="54"/>
      <c r="AEF52" s="54"/>
      <c r="AEG52" s="54"/>
      <c r="AEH52" s="54"/>
      <c r="AEI52" s="54"/>
      <c r="AEJ52" s="54"/>
      <c r="AEK52" s="54"/>
      <c r="AEL52" s="54"/>
      <c r="AEM52" s="54"/>
      <c r="AEN52" s="54"/>
      <c r="AEO52" s="54"/>
      <c r="AEP52" s="54"/>
      <c r="AEQ52" s="54"/>
      <c r="AER52" s="54"/>
      <c r="AES52" s="54"/>
      <c r="AET52" s="54"/>
      <c r="AEU52" s="54"/>
      <c r="AEV52" s="54"/>
      <c r="AEW52" s="54"/>
      <c r="AEX52" s="54"/>
      <c r="AEY52" s="54"/>
      <c r="AEZ52" s="54"/>
      <c r="AFA52" s="54"/>
      <c r="AFB52" s="54"/>
      <c r="AFC52" s="54"/>
      <c r="AFD52" s="54"/>
      <c r="AFE52" s="54"/>
      <c r="AFF52" s="54"/>
      <c r="AFG52" s="54"/>
      <c r="AFH52" s="54"/>
      <c r="AFI52" s="54"/>
      <c r="AFJ52" s="54"/>
      <c r="AFK52" s="54"/>
      <c r="AFL52" s="54"/>
      <c r="AFM52" s="54"/>
      <c r="AFN52" s="54"/>
      <c r="AFO52" s="54"/>
      <c r="AFP52" s="54"/>
      <c r="AFQ52" s="54"/>
      <c r="AFR52" s="54"/>
      <c r="AFS52" s="54"/>
      <c r="AFT52" s="54"/>
      <c r="AFU52" s="54"/>
      <c r="AFV52" s="54"/>
      <c r="AFW52" s="54"/>
      <c r="AFX52" s="54"/>
      <c r="AFY52" s="54"/>
      <c r="AFZ52" s="54"/>
      <c r="AGA52" s="54"/>
      <c r="AGB52" s="54"/>
      <c r="AGC52" s="54"/>
      <c r="AGD52" s="54"/>
      <c r="AGE52" s="54"/>
      <c r="AGF52" s="54"/>
      <c r="AGG52" s="54"/>
      <c r="AGH52" s="54"/>
      <c r="AGI52" s="54"/>
      <c r="AGJ52" s="54"/>
      <c r="AGK52" s="54"/>
      <c r="AGL52" s="54"/>
      <c r="AGM52" s="54"/>
      <c r="AGN52" s="54"/>
      <c r="AGO52" s="54"/>
      <c r="AGP52" s="54"/>
      <c r="AGQ52" s="54"/>
      <c r="AGR52" s="54"/>
      <c r="AGS52" s="54"/>
      <c r="AGT52" s="54"/>
      <c r="AGU52" s="54"/>
      <c r="AGV52" s="54"/>
      <c r="AGW52" s="54"/>
      <c r="AGX52" s="54"/>
      <c r="AGY52" s="54"/>
      <c r="AGZ52" s="54"/>
      <c r="AHA52" s="54"/>
      <c r="AHB52" s="54"/>
      <c r="AHC52" s="54"/>
      <c r="AHD52" s="54"/>
      <c r="AHE52" s="54"/>
      <c r="AHF52" s="54"/>
      <c r="AHG52" s="54"/>
      <c r="AHH52" s="54"/>
      <c r="AHI52" s="54"/>
      <c r="AHJ52" s="54"/>
      <c r="AHK52" s="54"/>
      <c r="AHL52" s="54"/>
      <c r="AHM52" s="54"/>
      <c r="AHN52" s="54"/>
      <c r="AHO52" s="54"/>
      <c r="AHP52" s="54"/>
      <c r="AHQ52" s="54"/>
      <c r="AHR52" s="54"/>
      <c r="AHS52" s="54"/>
      <c r="AHT52" s="54"/>
      <c r="AHU52" s="54"/>
      <c r="AHV52" s="54"/>
      <c r="AHW52" s="54"/>
      <c r="AHX52" s="54"/>
      <c r="AHY52" s="54"/>
      <c r="AHZ52" s="54"/>
      <c r="AIA52" s="54"/>
      <c r="AIB52" s="54"/>
      <c r="AIC52" s="54"/>
      <c r="AID52" s="54"/>
      <c r="AIE52" s="54"/>
      <c r="AIF52" s="54"/>
      <c r="AIG52" s="54"/>
      <c r="AIH52" s="54"/>
      <c r="AII52" s="54"/>
      <c r="AIJ52" s="54"/>
      <c r="AIK52" s="54"/>
      <c r="AIL52" s="54"/>
      <c r="AIM52" s="54"/>
      <c r="AIN52" s="54"/>
      <c r="AIO52" s="54"/>
      <c r="AIP52" s="54"/>
      <c r="AIQ52" s="54"/>
      <c r="AIR52" s="54"/>
      <c r="AIS52" s="54"/>
      <c r="AIT52" s="54"/>
      <c r="AIU52" s="54"/>
      <c r="AIV52" s="54"/>
      <c r="AIW52" s="54"/>
      <c r="AIX52" s="54"/>
      <c r="AIY52" s="54"/>
      <c r="AIZ52" s="54"/>
      <c r="AJA52" s="54"/>
      <c r="AJB52" s="54"/>
      <c r="AJC52" s="54"/>
      <c r="AJD52" s="54"/>
      <c r="AJE52" s="54"/>
      <c r="AJF52" s="54"/>
      <c r="AJG52" s="54"/>
      <c r="AJH52" s="54"/>
      <c r="AJI52" s="54"/>
      <c r="AJJ52" s="54"/>
      <c r="AJK52" s="54"/>
      <c r="AJL52" s="54"/>
      <c r="AJM52" s="54"/>
      <c r="AJN52" s="54"/>
      <c r="AJO52" s="54"/>
      <c r="AJP52" s="54"/>
      <c r="AJQ52" s="54"/>
      <c r="AJR52" s="54"/>
      <c r="AJS52" s="54"/>
      <c r="AJT52" s="54"/>
      <c r="AJU52" s="54"/>
      <c r="AJV52" s="54"/>
      <c r="AJW52" s="54"/>
      <c r="AJX52" s="54"/>
      <c r="AJY52" s="54"/>
      <c r="AJZ52" s="54"/>
      <c r="AKA52" s="54"/>
      <c r="AKB52" s="54"/>
      <c r="AKC52" s="54"/>
      <c r="AKD52" s="54"/>
      <c r="AKE52" s="54"/>
      <c r="AKF52" s="54"/>
      <c r="AKG52" s="54"/>
      <c r="AKH52" s="54"/>
      <c r="AKI52" s="54"/>
      <c r="AKJ52" s="54"/>
      <c r="AKK52" s="54"/>
      <c r="AKL52" s="54"/>
      <c r="AKM52" s="54"/>
      <c r="AKN52" s="54"/>
      <c r="AKO52" s="54"/>
      <c r="AKP52" s="54"/>
      <c r="AKQ52" s="54"/>
      <c r="AKR52" s="54"/>
      <c r="AKS52" s="54"/>
      <c r="AKT52" s="54"/>
      <c r="AKU52" s="54"/>
      <c r="AKV52" s="54"/>
      <c r="AKW52" s="54"/>
      <c r="AKX52" s="54"/>
      <c r="AKY52" s="54"/>
      <c r="AKZ52" s="54"/>
      <c r="ALA52" s="54"/>
      <c r="ALB52" s="54"/>
      <c r="ALC52" s="54"/>
      <c r="ALD52" s="54"/>
      <c r="ALE52" s="54"/>
      <c r="ALF52" s="54"/>
      <c r="ALG52" s="54"/>
      <c r="ALH52" s="54"/>
      <c r="ALI52" s="54"/>
      <c r="ALJ52" s="54"/>
      <c r="ALK52" s="54"/>
      <c r="ALL52" s="54"/>
      <c r="ALM52" s="54"/>
      <c r="ALN52" s="54"/>
      <c r="ALO52" s="54"/>
      <c r="ALP52" s="54"/>
      <c r="ALQ52" s="54"/>
      <c r="ALR52" s="54"/>
      <c r="ALS52" s="54"/>
      <c r="ALT52" s="54"/>
      <c r="ALU52" s="54"/>
      <c r="ALV52" s="54"/>
      <c r="ALW52" s="54"/>
      <c r="ALX52" s="54"/>
      <c r="ALY52" s="54"/>
      <c r="ALZ52" s="54"/>
      <c r="AMA52" s="54"/>
      <c r="AMB52" s="54"/>
      <c r="AMC52" s="54"/>
      <c r="AMD52" s="54"/>
      <c r="AME52" s="54"/>
      <c r="AMF52" s="54"/>
      <c r="AMG52" s="54"/>
      <c r="AMH52" s="54"/>
      <c r="AMI52" s="54"/>
      <c r="AMJ52" s="54"/>
      <c r="AMK52" s="54"/>
      <c r="AML52" s="54"/>
      <c r="AMM52" s="54"/>
      <c r="AMN52" s="54"/>
      <c r="AMO52" s="54"/>
      <c r="AMP52" s="54"/>
      <c r="AMQ52" s="54"/>
      <c r="AMR52" s="54"/>
      <c r="AMS52" s="54"/>
      <c r="AMT52" s="54"/>
      <c r="AMU52" s="54"/>
      <c r="AMV52" s="54"/>
      <c r="AMW52" s="54"/>
      <c r="AMX52" s="54"/>
      <c r="AMY52" s="54"/>
      <c r="AMZ52" s="54"/>
      <c r="ANA52" s="54"/>
      <c r="ANB52" s="54"/>
      <c r="ANC52" s="54"/>
      <c r="AND52" s="54"/>
      <c r="ANE52" s="54"/>
      <c r="ANF52" s="54"/>
      <c r="ANG52" s="54"/>
      <c r="ANH52" s="54"/>
      <c r="ANI52" s="54"/>
      <c r="ANJ52" s="54"/>
      <c r="ANK52" s="54"/>
      <c r="ANL52" s="54"/>
      <c r="ANM52" s="54"/>
      <c r="ANN52" s="54"/>
      <c r="ANO52" s="54"/>
      <c r="ANP52" s="54"/>
      <c r="ANQ52" s="54"/>
      <c r="ANR52" s="54"/>
      <c r="ANS52" s="54"/>
      <c r="ANT52" s="54"/>
      <c r="ANU52" s="54"/>
      <c r="ANV52" s="54"/>
      <c r="ANW52" s="54"/>
      <c r="ANX52" s="54"/>
      <c r="ANY52" s="54"/>
      <c r="ANZ52" s="54"/>
      <c r="AOA52" s="54"/>
      <c r="AOB52" s="54"/>
      <c r="AOC52" s="54"/>
      <c r="AOD52" s="54"/>
      <c r="AOE52" s="54"/>
      <c r="AOF52" s="54"/>
      <c r="AOG52" s="54"/>
      <c r="AOH52" s="54"/>
      <c r="AOI52" s="54"/>
      <c r="AOJ52" s="54"/>
      <c r="AOK52" s="54"/>
      <c r="AOL52" s="54"/>
      <c r="AOM52" s="54"/>
      <c r="AON52" s="54"/>
      <c r="AOO52" s="54"/>
      <c r="AOP52" s="54"/>
      <c r="AOQ52" s="54"/>
      <c r="AOR52" s="54"/>
      <c r="AOS52" s="54"/>
      <c r="AOT52" s="54"/>
      <c r="AOU52" s="54"/>
      <c r="AOV52" s="54"/>
      <c r="AOW52" s="54"/>
      <c r="AOX52" s="54"/>
      <c r="AOY52" s="54"/>
      <c r="AOZ52" s="54"/>
      <c r="APA52" s="54"/>
      <c r="APB52" s="54"/>
      <c r="APC52" s="54"/>
      <c r="APD52" s="54"/>
      <c r="APE52" s="54"/>
      <c r="APF52" s="54"/>
      <c r="APG52" s="54"/>
      <c r="APH52" s="54"/>
      <c r="API52" s="54"/>
      <c r="APJ52" s="54"/>
      <c r="APK52" s="54"/>
      <c r="APL52" s="54"/>
      <c r="APM52" s="54"/>
      <c r="APN52" s="54"/>
      <c r="APO52" s="54"/>
      <c r="APP52" s="54"/>
      <c r="APQ52" s="54"/>
      <c r="APR52" s="54"/>
      <c r="APS52" s="54"/>
      <c r="APT52" s="54"/>
      <c r="APU52" s="54"/>
      <c r="APV52" s="54"/>
      <c r="APW52" s="54"/>
      <c r="APX52" s="54"/>
      <c r="APY52" s="54"/>
      <c r="APZ52" s="54"/>
      <c r="AQA52" s="54"/>
      <c r="AQB52" s="54"/>
      <c r="AQC52" s="54"/>
      <c r="AQD52" s="54"/>
      <c r="AQE52" s="54"/>
      <c r="AQF52" s="54"/>
      <c r="AQG52" s="54"/>
      <c r="AQH52" s="54"/>
      <c r="AQI52" s="54"/>
      <c r="AQJ52" s="54"/>
      <c r="AQK52" s="54"/>
      <c r="AQL52" s="54"/>
      <c r="AQM52" s="54"/>
      <c r="AQN52" s="54"/>
      <c r="AQO52" s="54"/>
      <c r="AQP52" s="54"/>
      <c r="AQQ52" s="54"/>
      <c r="AQR52" s="54"/>
      <c r="AQS52" s="54"/>
      <c r="AQT52" s="54"/>
      <c r="AQU52" s="54"/>
      <c r="AQV52" s="54"/>
      <c r="AQW52" s="54"/>
      <c r="AQX52" s="54"/>
      <c r="AQY52" s="54"/>
      <c r="AQZ52" s="54"/>
      <c r="ARA52" s="54"/>
      <c r="ARB52" s="54"/>
      <c r="ARC52" s="54"/>
      <c r="ARD52" s="54"/>
      <c r="ARE52" s="54"/>
      <c r="ARF52" s="54"/>
      <c r="ARG52" s="54"/>
      <c r="ARH52" s="54"/>
      <c r="ARI52" s="54"/>
      <c r="ARJ52" s="54"/>
      <c r="ARK52" s="54"/>
      <c r="ARL52" s="54"/>
      <c r="ARM52" s="54"/>
      <c r="ARN52" s="54"/>
      <c r="ARO52" s="54"/>
      <c r="ARP52" s="54"/>
      <c r="ARQ52" s="54"/>
      <c r="ARR52" s="54"/>
      <c r="ARS52" s="54"/>
      <c r="ART52" s="54"/>
      <c r="ARU52" s="54"/>
      <c r="ARV52" s="54"/>
      <c r="ARW52" s="54"/>
      <c r="ARX52" s="54"/>
      <c r="ARY52" s="54"/>
      <c r="ARZ52" s="54"/>
      <c r="ASA52" s="54"/>
      <c r="ASB52" s="54"/>
      <c r="ASC52" s="54"/>
      <c r="ASD52" s="54"/>
      <c r="ASE52" s="54"/>
      <c r="ASF52" s="54"/>
      <c r="ASG52" s="54"/>
      <c r="ASH52" s="54"/>
      <c r="ASI52" s="54"/>
      <c r="ASJ52" s="54"/>
      <c r="ASK52" s="54"/>
      <c r="ASL52" s="54"/>
      <c r="ASM52" s="54"/>
      <c r="ASN52" s="54"/>
      <c r="ASO52" s="54"/>
      <c r="ASP52" s="54"/>
      <c r="ASQ52" s="54"/>
      <c r="ASR52" s="54"/>
      <c r="ASS52" s="54"/>
      <c r="AST52" s="54"/>
      <c r="ASU52" s="54"/>
      <c r="ASV52" s="54"/>
      <c r="ASW52" s="54"/>
      <c r="ASX52" s="54"/>
      <c r="ASY52" s="54"/>
      <c r="ASZ52" s="54"/>
      <c r="ATA52" s="54"/>
      <c r="ATB52" s="54"/>
      <c r="ATC52" s="54"/>
      <c r="ATD52" s="54"/>
      <c r="ATE52" s="54"/>
      <c r="ATF52" s="54"/>
      <c r="ATG52" s="54"/>
      <c r="ATH52" s="54"/>
      <c r="ATI52" s="54"/>
      <c r="ATJ52" s="54"/>
      <c r="ATK52" s="54"/>
      <c r="ATL52" s="54"/>
      <c r="ATM52" s="54"/>
      <c r="ATN52" s="54"/>
      <c r="ATO52" s="54"/>
      <c r="ATP52" s="54"/>
      <c r="ATQ52" s="54"/>
      <c r="ATR52" s="54"/>
      <c r="ATS52" s="54"/>
      <c r="ATT52" s="54"/>
      <c r="ATU52" s="54"/>
      <c r="ATV52" s="54"/>
      <c r="ATW52" s="54"/>
      <c r="ATX52" s="54"/>
      <c r="ATY52" s="54"/>
      <c r="ATZ52" s="54"/>
      <c r="AUA52" s="54"/>
      <c r="AUB52" s="54"/>
      <c r="AUC52" s="54"/>
      <c r="AUD52" s="54"/>
      <c r="AUE52" s="54"/>
      <c r="AUF52" s="54"/>
      <c r="AUG52" s="54"/>
      <c r="AUH52" s="54"/>
      <c r="AUI52" s="54"/>
      <c r="AUJ52" s="54"/>
      <c r="AUK52" s="54"/>
      <c r="AUL52" s="54"/>
      <c r="AUM52" s="54"/>
      <c r="AUN52" s="54"/>
      <c r="AUO52" s="54"/>
      <c r="AUP52" s="54"/>
      <c r="AUQ52" s="54"/>
      <c r="AUR52" s="54"/>
      <c r="AUS52" s="54"/>
      <c r="AUT52" s="54"/>
      <c r="AUU52" s="54"/>
      <c r="AUV52" s="54"/>
      <c r="AUW52" s="54"/>
      <c r="AUX52" s="54"/>
      <c r="AUY52" s="54"/>
      <c r="AUZ52" s="54"/>
      <c r="AVA52" s="54"/>
      <c r="AVB52" s="54"/>
      <c r="AVC52" s="54"/>
      <c r="AVD52" s="54"/>
      <c r="AVE52" s="54"/>
      <c r="AVF52" s="54"/>
      <c r="AVG52" s="54"/>
      <c r="AVH52" s="54"/>
      <c r="AVI52" s="54"/>
      <c r="AVJ52" s="54"/>
      <c r="AVK52" s="54"/>
      <c r="AVL52" s="54"/>
      <c r="AVM52" s="54"/>
      <c r="AVN52" s="54"/>
      <c r="AVO52" s="54"/>
      <c r="AVP52" s="54"/>
      <c r="AVQ52" s="54"/>
      <c r="AVR52" s="54"/>
      <c r="AVS52" s="54"/>
      <c r="AVT52" s="54"/>
      <c r="AVU52" s="54"/>
      <c r="AVV52" s="54"/>
      <c r="AVW52" s="54"/>
      <c r="AVX52" s="54"/>
      <c r="AVY52" s="54"/>
      <c r="AVZ52" s="54"/>
      <c r="AWA52" s="54"/>
      <c r="AWB52" s="54"/>
      <c r="AWC52" s="54"/>
      <c r="AWD52" s="54"/>
      <c r="AWE52" s="54"/>
      <c r="AWF52" s="54"/>
      <c r="AWG52" s="54"/>
      <c r="AWH52" s="54"/>
      <c r="AWI52" s="54"/>
      <c r="AWJ52" s="54"/>
      <c r="AWK52" s="54"/>
      <c r="AWL52" s="54"/>
      <c r="AWM52" s="54"/>
      <c r="AWN52" s="54"/>
      <c r="AWO52" s="54"/>
      <c r="AWP52" s="54"/>
      <c r="AWQ52" s="54"/>
      <c r="AWR52" s="54"/>
      <c r="AWS52" s="54"/>
      <c r="AWT52" s="54"/>
      <c r="AWU52" s="54"/>
      <c r="AWV52" s="54"/>
      <c r="AWW52" s="54"/>
      <c r="AWX52" s="54"/>
      <c r="AWY52" s="54"/>
      <c r="AWZ52" s="54"/>
      <c r="AXA52" s="54"/>
      <c r="AXB52" s="54"/>
      <c r="AXC52" s="54"/>
      <c r="AXD52" s="54"/>
      <c r="AXE52" s="54"/>
      <c r="AXF52" s="54"/>
      <c r="AXG52" s="54"/>
      <c r="AXH52" s="54"/>
      <c r="AXI52" s="54"/>
      <c r="AXJ52" s="54"/>
      <c r="AXK52" s="54"/>
      <c r="AXL52" s="54"/>
      <c r="AXM52" s="54"/>
      <c r="AXN52" s="54"/>
      <c r="AXO52" s="54"/>
      <c r="AXP52" s="54"/>
      <c r="AXQ52" s="54"/>
      <c r="AXR52" s="54"/>
      <c r="AXS52" s="54"/>
      <c r="AXT52" s="54"/>
      <c r="AXU52" s="54"/>
      <c r="AXV52" s="54"/>
      <c r="AXW52" s="54"/>
      <c r="AXX52" s="54"/>
      <c r="AXY52" s="54"/>
      <c r="AXZ52" s="54"/>
      <c r="AYA52" s="54"/>
      <c r="AYB52" s="54"/>
      <c r="AYC52" s="54"/>
      <c r="AYD52" s="54"/>
      <c r="AYE52" s="54"/>
      <c r="AYF52" s="54"/>
      <c r="AYG52" s="54"/>
      <c r="AYH52" s="54"/>
      <c r="AYI52" s="54"/>
      <c r="AYJ52" s="54"/>
      <c r="AYK52" s="54"/>
      <c r="AYL52" s="54"/>
      <c r="AYM52" s="54"/>
      <c r="AYN52" s="54"/>
      <c r="AYO52" s="54"/>
      <c r="AYP52" s="54"/>
      <c r="AYQ52" s="54"/>
      <c r="AYR52" s="54"/>
      <c r="AYS52" s="54"/>
      <c r="AYT52" s="54"/>
      <c r="AYU52" s="54"/>
      <c r="AYV52" s="54"/>
      <c r="AYW52" s="54"/>
      <c r="AYX52" s="54"/>
      <c r="AYY52" s="54"/>
      <c r="AYZ52" s="54"/>
      <c r="AZA52" s="54"/>
      <c r="AZB52" s="54"/>
      <c r="AZC52" s="54"/>
      <c r="AZD52" s="54"/>
      <c r="AZE52" s="54"/>
      <c r="AZF52" s="54"/>
      <c r="AZG52" s="54"/>
      <c r="AZH52" s="54"/>
      <c r="AZI52" s="54"/>
      <c r="AZJ52" s="54"/>
      <c r="AZK52" s="54"/>
      <c r="AZL52" s="54"/>
      <c r="AZM52" s="54"/>
      <c r="AZN52" s="54"/>
      <c r="AZO52" s="54"/>
      <c r="AZP52" s="54"/>
      <c r="AZQ52" s="54"/>
      <c r="AZR52" s="54"/>
      <c r="AZS52" s="54"/>
      <c r="AZT52" s="54"/>
      <c r="AZU52" s="54"/>
      <c r="AZV52" s="54"/>
      <c r="AZW52" s="54"/>
      <c r="AZX52" s="54"/>
      <c r="AZY52" s="54"/>
      <c r="AZZ52" s="54"/>
      <c r="BAA52" s="54"/>
      <c r="BAB52" s="54"/>
      <c r="BAC52" s="54"/>
      <c r="BAD52" s="54"/>
      <c r="BAE52" s="54"/>
      <c r="BAF52" s="54"/>
      <c r="BAG52" s="54"/>
      <c r="BAH52" s="54"/>
      <c r="BAI52" s="54"/>
      <c r="BAJ52" s="54"/>
      <c r="BAK52" s="54"/>
      <c r="BAL52" s="54"/>
      <c r="BAM52" s="54"/>
      <c r="BAN52" s="54"/>
      <c r="BAO52" s="54"/>
      <c r="BAP52" s="54"/>
      <c r="BAQ52" s="54"/>
      <c r="BAR52" s="54"/>
      <c r="BAS52" s="54"/>
      <c r="BAT52" s="54"/>
      <c r="BAU52" s="54"/>
      <c r="BAV52" s="54"/>
      <c r="BAW52" s="54"/>
      <c r="BAX52" s="54"/>
      <c r="BAY52" s="54"/>
      <c r="BAZ52" s="54"/>
      <c r="BBA52" s="54"/>
      <c r="BBB52" s="54"/>
      <c r="BBC52" s="54"/>
      <c r="BBD52" s="54"/>
      <c r="BBE52" s="54"/>
      <c r="BBF52" s="54"/>
      <c r="BBG52" s="54"/>
      <c r="BBH52" s="54"/>
      <c r="BBI52" s="54"/>
      <c r="BBJ52" s="54"/>
      <c r="BBK52" s="54"/>
      <c r="BBL52" s="54"/>
      <c r="BBM52" s="54"/>
      <c r="BBN52" s="54"/>
      <c r="BBO52" s="54"/>
      <c r="BBP52" s="54"/>
      <c r="BBQ52" s="54"/>
      <c r="BBR52" s="54"/>
      <c r="BBS52" s="54"/>
      <c r="BBT52" s="54"/>
      <c r="BBU52" s="54"/>
      <c r="BBV52" s="54"/>
      <c r="BBW52" s="54"/>
      <c r="BBX52" s="54"/>
      <c r="BBY52" s="54"/>
      <c r="BBZ52" s="54"/>
      <c r="BCA52" s="54"/>
      <c r="BCB52" s="54"/>
      <c r="BCC52" s="54"/>
      <c r="BCD52" s="54"/>
      <c r="BCE52" s="54"/>
      <c r="BCF52" s="54"/>
      <c r="BCG52" s="54"/>
      <c r="BCH52" s="54"/>
      <c r="BCI52" s="54"/>
      <c r="BCJ52" s="54"/>
      <c r="BCK52" s="54"/>
      <c r="BCL52" s="54"/>
      <c r="BCM52" s="54"/>
      <c r="BCN52" s="54"/>
      <c r="BCO52" s="54"/>
      <c r="BCP52" s="54"/>
      <c r="BCQ52" s="54"/>
      <c r="BCR52" s="54"/>
      <c r="BCS52" s="54"/>
      <c r="BCT52" s="54"/>
      <c r="BCU52" s="54"/>
      <c r="BCV52" s="54"/>
      <c r="BCW52" s="54"/>
      <c r="BCX52" s="54"/>
      <c r="BCY52" s="54"/>
      <c r="BCZ52" s="54"/>
      <c r="BDA52" s="54"/>
      <c r="BDB52" s="54"/>
      <c r="BDC52" s="54"/>
      <c r="BDD52" s="54"/>
      <c r="BDE52" s="54"/>
      <c r="BDF52" s="54"/>
      <c r="BDG52" s="54"/>
      <c r="BDH52" s="54"/>
      <c r="BDI52" s="54"/>
      <c r="BDJ52" s="54"/>
      <c r="BDK52" s="54"/>
      <c r="BDL52" s="54"/>
      <c r="BDM52" s="54"/>
      <c r="BDN52" s="54"/>
      <c r="BDO52" s="54"/>
      <c r="BDP52" s="54"/>
      <c r="BDQ52" s="54"/>
      <c r="BDR52" s="54"/>
      <c r="BDS52" s="54"/>
      <c r="BDT52" s="54"/>
      <c r="BDU52" s="54"/>
      <c r="BDV52" s="54"/>
      <c r="BDW52" s="54"/>
      <c r="BDX52" s="54"/>
      <c r="BDY52" s="54"/>
      <c r="BDZ52" s="54"/>
      <c r="BEA52" s="54"/>
      <c r="BEB52" s="54"/>
      <c r="BEC52" s="54"/>
      <c r="BED52" s="54"/>
      <c r="BEE52" s="54"/>
      <c r="BEF52" s="54"/>
      <c r="BEG52" s="54"/>
      <c r="BEH52" s="54"/>
      <c r="BEI52" s="54"/>
      <c r="BEJ52" s="54"/>
      <c r="BEK52" s="54"/>
      <c r="BEL52" s="54"/>
      <c r="BEM52" s="54"/>
      <c r="BEN52" s="54"/>
      <c r="BEO52" s="54"/>
      <c r="BEP52" s="54"/>
      <c r="BEQ52" s="54"/>
      <c r="BER52" s="54"/>
      <c r="BES52" s="54"/>
      <c r="BET52" s="54"/>
      <c r="BEU52" s="54"/>
      <c r="BEV52" s="54"/>
      <c r="BEW52" s="54"/>
      <c r="BEX52" s="54"/>
      <c r="BEY52" s="54"/>
      <c r="BEZ52" s="54"/>
      <c r="BFA52" s="54"/>
      <c r="BFB52" s="54"/>
      <c r="BFC52" s="54"/>
      <c r="BFD52" s="54"/>
      <c r="BFE52" s="54"/>
      <c r="BFF52" s="54"/>
      <c r="BFG52" s="54"/>
      <c r="BFH52" s="54"/>
      <c r="BFI52" s="54"/>
      <c r="BFJ52" s="54"/>
      <c r="BFK52" s="54"/>
      <c r="BFL52" s="54"/>
      <c r="BFM52" s="54"/>
      <c r="BFN52" s="54"/>
      <c r="BFO52" s="54"/>
      <c r="BFP52" s="54"/>
      <c r="BFQ52" s="54"/>
      <c r="BFR52" s="54"/>
      <c r="BFS52" s="54"/>
      <c r="BFT52" s="54"/>
      <c r="BFU52" s="54"/>
      <c r="BFV52" s="54"/>
      <c r="BFW52" s="54"/>
      <c r="BFX52" s="54"/>
      <c r="BFY52" s="54"/>
      <c r="BFZ52" s="54"/>
      <c r="BGA52" s="54"/>
      <c r="BGB52" s="54"/>
      <c r="BGC52" s="54"/>
      <c r="BGD52" s="54"/>
      <c r="BGE52" s="54"/>
      <c r="BGF52" s="54"/>
      <c r="BGG52" s="54"/>
      <c r="BGH52" s="54"/>
      <c r="BGI52" s="54"/>
      <c r="BGJ52" s="54"/>
      <c r="BGK52" s="54"/>
      <c r="BGL52" s="54"/>
      <c r="BGM52" s="54"/>
      <c r="BGN52" s="54"/>
      <c r="BGO52" s="54"/>
      <c r="BGP52" s="54"/>
      <c r="BGQ52" s="54"/>
      <c r="BGR52" s="54"/>
      <c r="BGS52" s="54"/>
      <c r="BGT52" s="54"/>
      <c r="BGU52" s="54"/>
      <c r="BGV52" s="54"/>
      <c r="BGW52" s="54"/>
      <c r="BGX52" s="54"/>
      <c r="BGY52" s="54"/>
      <c r="BGZ52" s="54"/>
      <c r="BHA52" s="54"/>
      <c r="BHB52" s="54"/>
      <c r="BHC52" s="54"/>
      <c r="BHD52" s="54"/>
      <c r="BHE52" s="54"/>
      <c r="BHF52" s="54"/>
      <c r="BHG52" s="54"/>
      <c r="BHH52" s="54"/>
      <c r="BHI52" s="54"/>
      <c r="BHJ52" s="54"/>
      <c r="BHK52" s="54"/>
      <c r="BHL52" s="54"/>
      <c r="BHM52" s="54"/>
      <c r="BHN52" s="54"/>
      <c r="BHO52" s="54"/>
      <c r="BHP52" s="54"/>
      <c r="BHQ52" s="54"/>
      <c r="BHR52" s="54"/>
      <c r="BHS52" s="54"/>
      <c r="BHT52" s="54"/>
      <c r="BHU52" s="54"/>
      <c r="BHV52" s="54"/>
      <c r="BHW52" s="54"/>
      <c r="BHX52" s="54"/>
      <c r="BHY52" s="54"/>
      <c r="BHZ52" s="54"/>
      <c r="BIA52" s="54"/>
      <c r="BIB52" s="54"/>
      <c r="BIC52" s="54"/>
      <c r="BID52" s="54"/>
      <c r="BIE52" s="54"/>
      <c r="BIF52" s="54"/>
      <c r="BIG52" s="54"/>
      <c r="BIH52" s="54"/>
      <c r="BII52" s="54"/>
      <c r="BIJ52" s="54"/>
      <c r="BIK52" s="54"/>
      <c r="BIL52" s="54"/>
      <c r="BIM52" s="54"/>
      <c r="BIN52" s="54"/>
      <c r="BIO52" s="54"/>
      <c r="BIP52" s="54"/>
      <c r="BIQ52" s="54"/>
      <c r="BIR52" s="54"/>
      <c r="BIS52" s="54"/>
      <c r="BIT52" s="54"/>
      <c r="BIU52" s="54"/>
      <c r="BIV52" s="54"/>
      <c r="BIW52" s="54"/>
      <c r="BIX52" s="54"/>
      <c r="BIY52" s="54"/>
      <c r="BIZ52" s="54"/>
      <c r="BJA52" s="54"/>
      <c r="BJB52" s="54"/>
      <c r="BJC52" s="54"/>
      <c r="BJD52" s="54"/>
      <c r="BJE52" s="54"/>
      <c r="BJF52" s="54"/>
      <c r="BJG52" s="54"/>
      <c r="BJH52" s="54"/>
      <c r="BJI52" s="54"/>
      <c r="BJJ52" s="54"/>
      <c r="BJK52" s="54"/>
      <c r="BJL52" s="54"/>
      <c r="BJM52" s="54"/>
      <c r="BJN52" s="54"/>
      <c r="BJO52" s="54"/>
      <c r="BJP52" s="54"/>
      <c r="BJQ52" s="54"/>
      <c r="BJR52" s="54"/>
      <c r="BJS52" s="54"/>
      <c r="BJT52" s="54"/>
      <c r="BJU52" s="54"/>
      <c r="BJV52" s="54"/>
      <c r="BJW52" s="54"/>
      <c r="BJX52" s="54"/>
      <c r="BJY52" s="54"/>
      <c r="BJZ52" s="54"/>
      <c r="BKA52" s="54"/>
      <c r="BKB52" s="54"/>
      <c r="BKC52" s="54"/>
      <c r="BKD52" s="54"/>
      <c r="BKE52" s="54"/>
      <c r="BKF52" s="54"/>
      <c r="BKG52" s="54"/>
      <c r="BKH52" s="54"/>
      <c r="BKI52" s="54"/>
      <c r="BKJ52" s="54"/>
      <c r="BKK52" s="54"/>
      <c r="BKL52" s="54"/>
      <c r="BKM52" s="54"/>
      <c r="BKN52" s="54"/>
      <c r="BKO52" s="54"/>
      <c r="BKP52" s="54"/>
      <c r="BKQ52" s="54"/>
      <c r="BKR52" s="54"/>
      <c r="BKS52" s="54"/>
      <c r="BKT52" s="54"/>
      <c r="BKU52" s="54"/>
      <c r="BKV52" s="54"/>
      <c r="BKW52" s="54"/>
      <c r="BKX52" s="54"/>
      <c r="BKY52" s="54"/>
      <c r="BKZ52" s="54"/>
      <c r="BLA52" s="54"/>
      <c r="BLB52" s="54"/>
      <c r="BLC52" s="54"/>
      <c r="BLD52" s="54"/>
      <c r="BLE52" s="54"/>
      <c r="BLF52" s="54"/>
      <c r="BLG52" s="54"/>
      <c r="BLH52" s="54"/>
      <c r="BLI52" s="54"/>
      <c r="BLJ52" s="54"/>
      <c r="BLK52" s="54"/>
      <c r="BLL52" s="54"/>
      <c r="BLM52" s="54"/>
      <c r="BLN52" s="54"/>
      <c r="BLO52" s="54"/>
      <c r="BLP52" s="54"/>
      <c r="BLQ52" s="54"/>
      <c r="BLR52" s="54"/>
      <c r="BLS52" s="54"/>
      <c r="BLT52" s="54"/>
      <c r="BLU52" s="54"/>
      <c r="BLV52" s="54"/>
      <c r="BLW52" s="54"/>
      <c r="BLX52" s="54"/>
      <c r="BLY52" s="54"/>
      <c r="BLZ52" s="54"/>
      <c r="BMA52" s="54"/>
      <c r="BMB52" s="54"/>
      <c r="BMC52" s="54"/>
      <c r="BMD52" s="54"/>
      <c r="BME52" s="54"/>
      <c r="BMF52" s="54"/>
      <c r="BMG52" s="54"/>
      <c r="BMH52" s="54"/>
      <c r="BMI52" s="54"/>
      <c r="BMJ52" s="54"/>
      <c r="BMK52" s="54"/>
      <c r="BML52" s="54"/>
      <c r="BMM52" s="54"/>
      <c r="BMN52" s="54"/>
      <c r="BMO52" s="54"/>
      <c r="BMP52" s="54"/>
      <c r="BMQ52" s="54"/>
      <c r="BMR52" s="54"/>
      <c r="BMS52" s="54"/>
      <c r="BMT52" s="54"/>
      <c r="BMU52" s="54"/>
      <c r="BMV52" s="54"/>
      <c r="BMW52" s="54"/>
      <c r="BMX52" s="54"/>
      <c r="BMY52" s="54"/>
      <c r="BMZ52" s="54"/>
      <c r="BNA52" s="54"/>
      <c r="BNB52" s="54"/>
      <c r="BNC52" s="54"/>
      <c r="BND52" s="54"/>
      <c r="BNE52" s="54"/>
      <c r="BNF52" s="54"/>
      <c r="BNG52" s="54"/>
      <c r="BNH52" s="54"/>
      <c r="BNI52" s="54"/>
      <c r="BNJ52" s="54"/>
      <c r="BNK52" s="54"/>
      <c r="BNL52" s="54"/>
      <c r="BNM52" s="54"/>
      <c r="BNN52" s="54"/>
      <c r="BNO52" s="54"/>
      <c r="BNP52" s="54"/>
      <c r="BNQ52" s="54"/>
      <c r="BNR52" s="54"/>
      <c r="BNS52" s="54"/>
      <c r="BNT52" s="54"/>
      <c r="BNU52" s="54"/>
      <c r="BNV52" s="54"/>
      <c r="BNW52" s="54"/>
      <c r="BNX52" s="54"/>
      <c r="BNY52" s="54"/>
      <c r="BNZ52" s="54"/>
      <c r="BOA52" s="54"/>
      <c r="BOB52" s="54"/>
      <c r="BOC52" s="54"/>
      <c r="BOD52" s="54"/>
      <c r="BOE52" s="54"/>
      <c r="BOF52" s="54"/>
      <c r="BOG52" s="54"/>
      <c r="BOH52" s="54"/>
      <c r="BOI52" s="54"/>
      <c r="BOJ52" s="54"/>
      <c r="BOK52" s="54"/>
      <c r="BOL52" s="54"/>
      <c r="BOM52" s="54"/>
      <c r="BON52" s="54"/>
      <c r="BOO52" s="54"/>
      <c r="BOP52" s="54"/>
      <c r="BOQ52" s="54"/>
      <c r="BOR52" s="54"/>
      <c r="BOS52" s="54"/>
      <c r="BOT52" s="54"/>
      <c r="BOU52" s="54"/>
      <c r="BOV52" s="54"/>
      <c r="BOW52" s="54"/>
      <c r="BOX52" s="54"/>
      <c r="BOY52" s="54"/>
      <c r="BOZ52" s="54"/>
      <c r="BPA52" s="54"/>
      <c r="BPB52" s="54"/>
      <c r="BPC52" s="54"/>
      <c r="BPD52" s="54"/>
      <c r="BPE52" s="54"/>
      <c r="BPF52" s="54"/>
      <c r="BPG52" s="54"/>
      <c r="BPH52" s="54"/>
      <c r="BPI52" s="54"/>
      <c r="BPJ52" s="54"/>
      <c r="BPK52" s="54"/>
      <c r="BPL52" s="54"/>
      <c r="BPM52" s="54"/>
      <c r="BPN52" s="54"/>
      <c r="BPO52" s="54"/>
      <c r="BPP52" s="54"/>
      <c r="BPQ52" s="54"/>
      <c r="BPR52" s="54"/>
      <c r="BPS52" s="54"/>
      <c r="BPT52" s="54"/>
      <c r="BPU52" s="54"/>
      <c r="BPV52" s="54"/>
      <c r="BPW52" s="54"/>
      <c r="BPX52" s="54"/>
      <c r="BPY52" s="54"/>
      <c r="BPZ52" s="54"/>
      <c r="BQA52" s="54"/>
      <c r="BQB52" s="54"/>
      <c r="BQC52" s="54"/>
      <c r="BQD52" s="54"/>
      <c r="BQE52" s="54"/>
      <c r="BQF52" s="54"/>
      <c r="BQG52" s="54"/>
      <c r="BQH52" s="54"/>
      <c r="BQI52" s="54"/>
      <c r="BQJ52" s="54"/>
      <c r="BQK52" s="54"/>
      <c r="BQL52" s="54"/>
      <c r="BQM52" s="54"/>
      <c r="BQN52" s="54"/>
      <c r="BQO52" s="54"/>
      <c r="BQP52" s="54"/>
      <c r="BQQ52" s="54"/>
      <c r="BQR52" s="54"/>
      <c r="BQS52" s="54"/>
      <c r="BQT52" s="54"/>
      <c r="BQU52" s="54"/>
      <c r="BQV52" s="54"/>
      <c r="BQW52" s="54"/>
      <c r="BQX52" s="54"/>
      <c r="BQY52" s="54"/>
      <c r="BQZ52" s="54"/>
      <c r="BRA52" s="54"/>
      <c r="BRB52" s="54"/>
      <c r="BRC52" s="54"/>
      <c r="BRD52" s="54"/>
      <c r="BRE52" s="54"/>
      <c r="BRF52" s="54"/>
      <c r="BRG52" s="54"/>
      <c r="BRH52" s="54"/>
      <c r="BRI52" s="54"/>
      <c r="BRJ52" s="54"/>
      <c r="BRK52" s="54"/>
      <c r="BRL52" s="54"/>
      <c r="BRM52" s="54"/>
      <c r="BRN52" s="54"/>
      <c r="BRO52" s="54"/>
      <c r="BRP52" s="54"/>
      <c r="BRQ52" s="54"/>
      <c r="BRR52" s="54"/>
      <c r="BRS52" s="54"/>
      <c r="BRT52" s="54"/>
      <c r="BRU52" s="54"/>
      <c r="BRV52" s="54"/>
      <c r="BRW52" s="54"/>
      <c r="BRX52" s="54"/>
      <c r="BRY52" s="54"/>
      <c r="BRZ52" s="54"/>
      <c r="BSA52" s="54"/>
      <c r="BSB52" s="54"/>
      <c r="BSC52" s="54"/>
      <c r="BSD52" s="54"/>
      <c r="BSE52" s="54"/>
      <c r="BSF52" s="54"/>
      <c r="BSG52" s="54"/>
      <c r="BSH52" s="54"/>
      <c r="BSI52" s="54"/>
      <c r="BSJ52" s="54"/>
      <c r="BSK52" s="54"/>
      <c r="BSL52" s="54"/>
      <c r="BSM52" s="54"/>
      <c r="BSN52" s="54"/>
      <c r="BSO52" s="54"/>
      <c r="BSP52" s="54"/>
      <c r="BSQ52" s="54"/>
      <c r="BSR52" s="54"/>
      <c r="BSS52" s="54"/>
      <c r="BST52" s="54"/>
      <c r="BSU52" s="54"/>
      <c r="BSV52" s="54"/>
      <c r="BSW52" s="54"/>
      <c r="BSX52" s="54"/>
      <c r="BSY52" s="54"/>
      <c r="BSZ52" s="54"/>
      <c r="BTA52" s="54"/>
      <c r="BTB52" s="54"/>
      <c r="BTC52" s="54"/>
      <c r="BTD52" s="54"/>
      <c r="BTE52" s="54"/>
      <c r="BTF52" s="54"/>
      <c r="BTG52" s="54"/>
      <c r="BTH52" s="54"/>
      <c r="BTI52" s="54"/>
      <c r="BTJ52" s="54"/>
      <c r="BTK52" s="54"/>
      <c r="BTL52" s="54"/>
      <c r="BTM52" s="54"/>
      <c r="BTN52" s="54"/>
      <c r="BTO52" s="54"/>
      <c r="BTP52" s="54"/>
      <c r="BTQ52" s="54"/>
      <c r="BTR52" s="54"/>
      <c r="BTS52" s="54"/>
      <c r="BTT52" s="54"/>
      <c r="BTU52" s="54"/>
      <c r="BTV52" s="54"/>
      <c r="BTW52" s="54"/>
      <c r="BTX52" s="54"/>
      <c r="BTY52" s="54"/>
      <c r="BTZ52" s="54"/>
      <c r="BUA52" s="54"/>
      <c r="BUB52" s="54"/>
      <c r="BUC52" s="54"/>
      <c r="BUD52" s="54"/>
      <c r="BUE52" s="54"/>
      <c r="BUF52" s="54"/>
      <c r="BUG52" s="54"/>
      <c r="BUH52" s="54"/>
      <c r="BUI52" s="54"/>
      <c r="BUJ52" s="54"/>
      <c r="BUK52" s="54"/>
      <c r="BUL52" s="54"/>
      <c r="BUM52" s="54"/>
      <c r="BUN52" s="54"/>
      <c r="BUO52" s="54"/>
      <c r="BUP52" s="54"/>
      <c r="BUQ52" s="54"/>
      <c r="BUR52" s="54"/>
      <c r="BUS52" s="54"/>
      <c r="BUT52" s="54"/>
      <c r="BUU52" s="54"/>
      <c r="BUV52" s="54"/>
      <c r="BUW52" s="54"/>
      <c r="BUX52" s="54"/>
      <c r="BUY52" s="54"/>
      <c r="BUZ52" s="54"/>
      <c r="BVA52" s="54"/>
      <c r="BVB52" s="54"/>
      <c r="BVC52" s="54"/>
      <c r="BVD52" s="54"/>
      <c r="BVE52" s="54"/>
      <c r="BVF52" s="54"/>
      <c r="BVG52" s="54"/>
      <c r="BVH52" s="54"/>
      <c r="BVI52" s="54"/>
      <c r="BVJ52" s="54"/>
      <c r="BVK52" s="54"/>
      <c r="BVL52" s="54"/>
      <c r="BVM52" s="54"/>
      <c r="BVN52" s="54"/>
      <c r="BVO52" s="54"/>
      <c r="BVP52" s="54"/>
      <c r="BVQ52" s="54"/>
      <c r="BVR52" s="54"/>
      <c r="BVS52" s="54"/>
      <c r="BVT52" s="54"/>
      <c r="BVU52" s="54"/>
      <c r="BVV52" s="54"/>
      <c r="BVW52" s="54"/>
      <c r="BVX52" s="54"/>
      <c r="BVY52" s="54"/>
      <c r="BVZ52" s="54"/>
      <c r="BWA52" s="54"/>
      <c r="BWB52" s="54"/>
      <c r="BWC52" s="54"/>
      <c r="BWD52" s="54"/>
      <c r="BWE52" s="54"/>
      <c r="BWF52" s="54"/>
      <c r="BWG52" s="54"/>
      <c r="BWH52" s="54"/>
      <c r="BWI52" s="54"/>
      <c r="BWJ52" s="54"/>
      <c r="BWK52" s="54"/>
      <c r="BWL52" s="54"/>
      <c r="BWM52" s="54"/>
      <c r="BWN52" s="54"/>
      <c r="BWO52" s="54"/>
      <c r="BWP52" s="54"/>
      <c r="BWQ52" s="54"/>
      <c r="BWR52" s="54"/>
      <c r="BWS52" s="54"/>
      <c r="BWT52" s="54"/>
      <c r="BWU52" s="54"/>
      <c r="BWV52" s="54"/>
      <c r="BWW52" s="54"/>
      <c r="BWX52" s="54"/>
      <c r="BWY52" s="54"/>
      <c r="BWZ52" s="54"/>
      <c r="BXA52" s="54"/>
      <c r="BXB52" s="54"/>
      <c r="BXC52" s="54"/>
      <c r="BXD52" s="54"/>
      <c r="BXE52" s="54"/>
      <c r="BXF52" s="54"/>
      <c r="BXG52" s="54"/>
      <c r="BXH52" s="54"/>
      <c r="BXI52" s="54"/>
      <c r="BXJ52" s="54"/>
      <c r="BXK52" s="54"/>
      <c r="BXL52" s="54"/>
      <c r="BXM52" s="54"/>
      <c r="BXN52" s="54"/>
      <c r="BXO52" s="54"/>
      <c r="BXP52" s="54"/>
      <c r="BXQ52" s="54"/>
      <c r="BXR52" s="54"/>
      <c r="BXS52" s="54"/>
      <c r="BXT52" s="54"/>
      <c r="BXU52" s="54"/>
      <c r="BXV52" s="54"/>
      <c r="BXW52" s="54"/>
      <c r="BXX52" s="54"/>
      <c r="BXY52" s="54"/>
      <c r="BXZ52" s="54"/>
      <c r="BYA52" s="54"/>
      <c r="BYB52" s="54"/>
      <c r="BYC52" s="54"/>
      <c r="BYD52" s="54"/>
      <c r="BYE52" s="54"/>
      <c r="BYF52" s="54"/>
      <c r="BYG52" s="54"/>
      <c r="BYH52" s="54"/>
      <c r="BYI52" s="54"/>
      <c r="BYJ52" s="54"/>
      <c r="BYK52" s="54"/>
      <c r="BYL52" s="54"/>
      <c r="BYM52" s="54"/>
      <c r="BYN52" s="54"/>
      <c r="BYO52" s="54"/>
      <c r="BYP52" s="54"/>
      <c r="BYQ52" s="54"/>
      <c r="BYR52" s="54"/>
      <c r="BYS52" s="54"/>
      <c r="BYT52" s="54"/>
      <c r="BYU52" s="54"/>
      <c r="BYV52" s="54"/>
      <c r="BYW52" s="54"/>
      <c r="BYX52" s="54"/>
      <c r="BYY52" s="54"/>
      <c r="BYZ52" s="54"/>
      <c r="BZA52" s="54"/>
      <c r="BZB52" s="54"/>
      <c r="BZC52" s="54"/>
      <c r="BZD52" s="54"/>
      <c r="BZE52" s="54"/>
      <c r="BZF52" s="54"/>
      <c r="BZG52" s="54"/>
      <c r="BZH52" s="54"/>
      <c r="BZI52" s="54"/>
      <c r="BZJ52" s="54"/>
      <c r="BZK52" s="54"/>
      <c r="BZL52" s="54"/>
      <c r="BZM52" s="54"/>
      <c r="BZN52" s="54"/>
      <c r="BZO52" s="54"/>
      <c r="BZP52" s="54"/>
      <c r="BZQ52" s="54"/>
      <c r="BZR52" s="54"/>
      <c r="BZS52" s="54"/>
      <c r="BZT52" s="54"/>
      <c r="BZU52" s="54"/>
      <c r="BZV52" s="54"/>
      <c r="BZW52" s="54"/>
      <c r="BZX52" s="54"/>
      <c r="BZY52" s="54"/>
      <c r="BZZ52" s="54"/>
      <c r="CAA52" s="54"/>
      <c r="CAB52" s="54"/>
      <c r="CAC52" s="54"/>
      <c r="CAD52" s="54"/>
      <c r="CAE52" s="54"/>
      <c r="CAF52" s="54"/>
      <c r="CAG52" s="54"/>
      <c r="CAH52" s="54"/>
      <c r="CAI52" s="54"/>
      <c r="CAJ52" s="54"/>
      <c r="CAK52" s="54"/>
      <c r="CAL52" s="54"/>
      <c r="CAM52" s="54"/>
      <c r="CAN52" s="54"/>
      <c r="CAO52" s="54"/>
      <c r="CAP52" s="54"/>
      <c r="CAQ52" s="54"/>
      <c r="CAR52" s="54"/>
      <c r="CAS52" s="54"/>
      <c r="CAT52" s="54"/>
      <c r="CAU52" s="54"/>
      <c r="CAV52" s="54"/>
      <c r="CAW52" s="54"/>
      <c r="CAX52" s="54"/>
      <c r="CAY52" s="54"/>
      <c r="CAZ52" s="54"/>
      <c r="CBA52" s="54"/>
      <c r="CBB52" s="54"/>
      <c r="CBC52" s="54"/>
      <c r="CBD52" s="54"/>
      <c r="CBE52" s="54"/>
      <c r="CBF52" s="54"/>
      <c r="CBG52" s="54"/>
      <c r="CBH52" s="54"/>
      <c r="CBI52" s="54"/>
      <c r="CBJ52" s="54"/>
      <c r="CBK52" s="54"/>
      <c r="CBL52" s="54"/>
      <c r="CBM52" s="54"/>
      <c r="CBN52" s="54"/>
      <c r="CBO52" s="54"/>
      <c r="CBP52" s="54"/>
      <c r="CBQ52" s="54"/>
      <c r="CBR52" s="54"/>
      <c r="CBS52" s="54"/>
      <c r="CBT52" s="54"/>
      <c r="CBU52" s="54"/>
      <c r="CBV52" s="54"/>
      <c r="CBW52" s="54"/>
      <c r="CBX52" s="54"/>
      <c r="CBY52" s="54"/>
      <c r="CBZ52" s="54"/>
      <c r="CCA52" s="54"/>
      <c r="CCB52" s="54"/>
      <c r="CCC52" s="54"/>
      <c r="CCD52" s="54"/>
      <c r="CCE52" s="54"/>
      <c r="CCF52" s="54"/>
      <c r="CCG52" s="54"/>
      <c r="CCH52" s="54"/>
      <c r="CCI52" s="54"/>
      <c r="CCJ52" s="54"/>
      <c r="CCK52" s="54"/>
      <c r="CCL52" s="54"/>
      <c r="CCM52" s="54"/>
      <c r="CCN52" s="54"/>
      <c r="CCO52" s="54"/>
      <c r="CCP52" s="54"/>
      <c r="CCQ52" s="54"/>
      <c r="CCR52" s="54"/>
      <c r="CCS52" s="54"/>
      <c r="CCT52" s="54"/>
      <c r="CCU52" s="54"/>
      <c r="CCV52" s="54"/>
      <c r="CCW52" s="54"/>
      <c r="CCX52" s="54"/>
      <c r="CCY52" s="54"/>
      <c r="CCZ52" s="54"/>
      <c r="CDA52" s="54"/>
      <c r="CDB52" s="54"/>
      <c r="CDC52" s="54"/>
      <c r="CDD52" s="54"/>
      <c r="CDE52" s="54"/>
      <c r="CDF52" s="54"/>
      <c r="CDG52" s="54"/>
      <c r="CDH52" s="54"/>
      <c r="CDI52" s="54"/>
      <c r="CDJ52" s="54"/>
      <c r="CDK52" s="54"/>
      <c r="CDL52" s="54"/>
      <c r="CDM52" s="54"/>
      <c r="CDN52" s="54"/>
      <c r="CDO52" s="54"/>
      <c r="CDP52" s="54"/>
      <c r="CDQ52" s="54"/>
      <c r="CDR52" s="54"/>
      <c r="CDS52" s="54"/>
      <c r="CDT52" s="54"/>
      <c r="CDU52" s="54"/>
      <c r="CDV52" s="54"/>
      <c r="CDW52" s="54"/>
      <c r="CDX52" s="54"/>
      <c r="CDY52" s="54"/>
      <c r="CDZ52" s="54"/>
      <c r="CEA52" s="54"/>
      <c r="CEB52" s="54"/>
      <c r="CEC52" s="54"/>
      <c r="CED52" s="54"/>
      <c r="CEE52" s="54"/>
      <c r="CEF52" s="54"/>
      <c r="CEG52" s="54"/>
      <c r="CEH52" s="54"/>
      <c r="CEI52" s="54"/>
      <c r="CEJ52" s="54"/>
      <c r="CEK52" s="54"/>
      <c r="CEL52" s="54"/>
      <c r="CEM52" s="54"/>
      <c r="CEN52" s="54"/>
      <c r="CEO52" s="54"/>
      <c r="CEP52" s="54"/>
      <c r="CEQ52" s="54"/>
      <c r="CER52" s="54"/>
      <c r="CES52" s="54"/>
      <c r="CET52" s="54"/>
      <c r="CEU52" s="54"/>
      <c r="CEV52" s="54"/>
      <c r="CEW52" s="54"/>
      <c r="CEX52" s="54"/>
      <c r="CEY52" s="54"/>
    </row>
    <row r="53" spans="1:2183" ht="41.25" customHeight="1" thickTop="1" thickBot="1" x14ac:dyDescent="0.3">
      <c r="A53" s="449" t="s">
        <v>1758</v>
      </c>
      <c r="B53" s="449" t="s">
        <v>1724</v>
      </c>
      <c r="C53" s="654"/>
      <c r="D53" s="490">
        <v>3</v>
      </c>
      <c r="E53" s="490">
        <v>30</v>
      </c>
      <c r="F53" s="490">
        <v>3</v>
      </c>
      <c r="G53" s="490">
        <v>520</v>
      </c>
      <c r="H53" s="456">
        <v>150000000</v>
      </c>
      <c r="I53" s="450">
        <v>0</v>
      </c>
      <c r="J53" s="334" t="s">
        <v>1763</v>
      </c>
      <c r="K53" s="491" t="s">
        <v>25</v>
      </c>
      <c r="L53" s="491">
        <v>5</v>
      </c>
      <c r="M53" s="491">
        <v>0</v>
      </c>
    </row>
    <row r="54" spans="1:2183" ht="29.25" customHeight="1" thickTop="1" thickBot="1" x14ac:dyDescent="0.3">
      <c r="A54" s="449" t="s">
        <v>1758</v>
      </c>
      <c r="B54" s="449" t="s">
        <v>1724</v>
      </c>
      <c r="C54" s="654" t="s">
        <v>440</v>
      </c>
      <c r="D54" s="490">
        <v>3</v>
      </c>
      <c r="E54" s="490">
        <v>30</v>
      </c>
      <c r="F54" s="490">
        <v>3</v>
      </c>
      <c r="G54" s="490">
        <v>520</v>
      </c>
      <c r="H54" s="456">
        <v>115000000</v>
      </c>
      <c r="I54" s="450">
        <v>112646600</v>
      </c>
      <c r="J54" s="334" t="s">
        <v>1764</v>
      </c>
      <c r="K54" s="491" t="s">
        <v>11</v>
      </c>
      <c r="L54" s="491">
        <v>6250</v>
      </c>
      <c r="M54" s="491">
        <v>6250</v>
      </c>
    </row>
    <row r="55" spans="1:2183" ht="40.5" customHeight="1" thickTop="1" thickBot="1" x14ac:dyDescent="0.3">
      <c r="A55" s="449" t="s">
        <v>1758</v>
      </c>
      <c r="B55" s="449" t="s">
        <v>1724</v>
      </c>
      <c r="C55" s="654"/>
      <c r="D55" s="490">
        <v>3</v>
      </c>
      <c r="E55" s="490">
        <v>30</v>
      </c>
      <c r="F55" s="490">
        <v>3</v>
      </c>
      <c r="G55" s="490">
        <v>520</v>
      </c>
      <c r="H55" s="456">
        <v>126000000</v>
      </c>
      <c r="I55" s="450">
        <v>125653000</v>
      </c>
      <c r="J55" s="334" t="s">
        <v>1765</v>
      </c>
      <c r="K55" s="491" t="s">
        <v>15</v>
      </c>
      <c r="L55" s="491">
        <v>1</v>
      </c>
      <c r="M55" s="491">
        <v>1</v>
      </c>
    </row>
    <row r="56" spans="1:2183" ht="52.5" customHeight="1" thickTop="1" thickBot="1" x14ac:dyDescent="0.3">
      <c r="A56" s="449" t="s">
        <v>1758</v>
      </c>
      <c r="B56" s="449" t="s">
        <v>1724</v>
      </c>
      <c r="C56" s="449" t="s">
        <v>105</v>
      </c>
      <c r="D56" s="490">
        <v>3</v>
      </c>
      <c r="E56" s="490">
        <v>30</v>
      </c>
      <c r="F56" s="490">
        <v>3</v>
      </c>
      <c r="G56" s="490">
        <v>530</v>
      </c>
      <c r="H56" s="456">
        <v>77000000</v>
      </c>
      <c r="I56" s="450">
        <v>0</v>
      </c>
      <c r="J56" s="334" t="s">
        <v>1766</v>
      </c>
      <c r="K56" s="491" t="s">
        <v>261</v>
      </c>
      <c r="L56" s="491">
        <v>1250</v>
      </c>
      <c r="M56" s="491">
        <v>0</v>
      </c>
    </row>
    <row r="57" spans="1:2183" ht="52.5" customHeight="1" thickTop="1" thickBot="1" x14ac:dyDescent="0.3">
      <c r="A57" s="449" t="s">
        <v>1758</v>
      </c>
      <c r="B57" s="449" t="s">
        <v>1724</v>
      </c>
      <c r="C57" s="484" t="s">
        <v>179</v>
      </c>
      <c r="D57" s="490">
        <v>3</v>
      </c>
      <c r="E57" s="490">
        <v>30</v>
      </c>
      <c r="F57" s="490">
        <v>3</v>
      </c>
      <c r="G57" s="490">
        <v>580</v>
      </c>
      <c r="H57" s="456">
        <v>200000000</v>
      </c>
      <c r="I57" s="450">
        <v>16282650</v>
      </c>
      <c r="J57" s="334" t="s">
        <v>1767</v>
      </c>
      <c r="K57" s="491" t="s">
        <v>13</v>
      </c>
      <c r="L57" s="491">
        <v>35</v>
      </c>
      <c r="M57" s="491">
        <v>4</v>
      </c>
    </row>
    <row r="58" spans="1:2183" ht="42" customHeight="1" thickTop="1" thickBot="1" x14ac:dyDescent="0.3">
      <c r="A58" s="449" t="s">
        <v>1758</v>
      </c>
      <c r="B58" s="449" t="s">
        <v>1724</v>
      </c>
      <c r="C58" s="449" t="s">
        <v>18</v>
      </c>
      <c r="D58" s="490">
        <v>3</v>
      </c>
      <c r="E58" s="490">
        <v>30</v>
      </c>
      <c r="F58" s="490">
        <v>3</v>
      </c>
      <c r="G58" s="490">
        <v>960</v>
      </c>
      <c r="H58" s="456">
        <v>19702000</v>
      </c>
      <c r="I58" s="450">
        <v>0</v>
      </c>
      <c r="J58" s="334" t="s">
        <v>1768</v>
      </c>
      <c r="K58" s="491" t="s">
        <v>16</v>
      </c>
      <c r="L58" s="491">
        <v>1</v>
      </c>
      <c r="M58" s="491">
        <v>0</v>
      </c>
    </row>
    <row r="59" spans="1:2183" s="54" customFormat="1" ht="16.5" thickTop="1" thickBot="1" x14ac:dyDescent="0.3">
      <c r="A59" s="158"/>
      <c r="B59" s="158"/>
      <c r="C59" s="158"/>
      <c r="D59" s="208"/>
      <c r="E59" s="208"/>
      <c r="F59" s="208"/>
      <c r="G59" s="208"/>
      <c r="H59" s="208"/>
      <c r="I59" s="208"/>
      <c r="J59" s="208"/>
      <c r="K59" s="488"/>
      <c r="L59" s="489"/>
      <c r="M59" s="488"/>
    </row>
    <row r="60" spans="1:2183" ht="30" customHeight="1" thickTop="1" thickBot="1" x14ac:dyDescent="0.3">
      <c r="A60" s="639" t="s">
        <v>0</v>
      </c>
      <c r="B60" s="639" t="s">
        <v>1</v>
      </c>
      <c r="C60" s="639" t="s">
        <v>2569</v>
      </c>
      <c r="D60" s="636" t="s">
        <v>1961</v>
      </c>
      <c r="E60" s="637"/>
      <c r="F60" s="637"/>
      <c r="G60" s="638"/>
      <c r="H60" s="636" t="s">
        <v>3</v>
      </c>
      <c r="I60" s="637"/>
      <c r="J60" s="636" t="s">
        <v>1962</v>
      </c>
      <c r="K60" s="637"/>
      <c r="L60" s="637"/>
      <c r="M60" s="638"/>
    </row>
    <row r="61" spans="1:2183" ht="34.5" customHeight="1" thickTop="1" thickBot="1" x14ac:dyDescent="0.3">
      <c r="A61" s="661"/>
      <c r="B61" s="661"/>
      <c r="C61" s="661"/>
      <c r="D61" s="445" t="s">
        <v>4</v>
      </c>
      <c r="E61" s="445" t="s">
        <v>5</v>
      </c>
      <c r="F61" s="445" t="s">
        <v>6</v>
      </c>
      <c r="G61" s="445" t="s">
        <v>7</v>
      </c>
      <c r="H61" s="445" t="s">
        <v>2</v>
      </c>
      <c r="I61" s="445" t="s">
        <v>3</v>
      </c>
      <c r="J61" s="445" t="s">
        <v>8</v>
      </c>
      <c r="K61" s="445" t="s">
        <v>9</v>
      </c>
      <c r="L61" s="445" t="s">
        <v>1963</v>
      </c>
      <c r="M61" s="445" t="s">
        <v>1964</v>
      </c>
    </row>
    <row r="62" spans="1:2183" ht="57.75" thickTop="1" thickBot="1" x14ac:dyDescent="0.3">
      <c r="A62" s="451" t="s">
        <v>2475</v>
      </c>
      <c r="B62" s="451" t="s">
        <v>1724</v>
      </c>
      <c r="C62" s="675" t="s">
        <v>18</v>
      </c>
      <c r="D62" s="452">
        <v>3</v>
      </c>
      <c r="E62" s="452">
        <v>30</v>
      </c>
      <c r="F62" s="452">
        <v>3</v>
      </c>
      <c r="G62" s="452">
        <v>848</v>
      </c>
      <c r="H62" s="456">
        <v>1270565354</v>
      </c>
      <c r="I62" s="450">
        <v>977950439</v>
      </c>
      <c r="J62" s="334" t="s">
        <v>1769</v>
      </c>
      <c r="K62" s="452" t="s">
        <v>20</v>
      </c>
      <c r="L62" s="343">
        <v>1429</v>
      </c>
      <c r="M62" s="343">
        <v>1429</v>
      </c>
    </row>
    <row r="63" spans="1:2183" ht="80.25" thickTop="1" thickBot="1" x14ac:dyDescent="0.3">
      <c r="A63" s="622" t="s">
        <v>2475</v>
      </c>
      <c r="B63" s="451" t="s">
        <v>1724</v>
      </c>
      <c r="C63" s="677"/>
      <c r="D63" s="452">
        <v>3</v>
      </c>
      <c r="E63" s="452">
        <v>30</v>
      </c>
      <c r="F63" s="452">
        <v>3</v>
      </c>
      <c r="G63" s="452">
        <v>144</v>
      </c>
      <c r="H63" s="456">
        <v>119409600</v>
      </c>
      <c r="I63" s="450">
        <v>114659940</v>
      </c>
      <c r="J63" s="334" t="s">
        <v>1770</v>
      </c>
      <c r="K63" s="452" t="s">
        <v>20</v>
      </c>
      <c r="L63" s="343">
        <v>973</v>
      </c>
      <c r="M63" s="343">
        <v>935</v>
      </c>
    </row>
    <row r="64" spans="1:2183" ht="46.5" thickTop="1" thickBot="1" x14ac:dyDescent="0.3">
      <c r="A64" s="622" t="s">
        <v>2475</v>
      </c>
      <c r="B64" s="451" t="s">
        <v>1724</v>
      </c>
      <c r="C64" s="672" t="s">
        <v>53</v>
      </c>
      <c r="D64" s="452">
        <v>3</v>
      </c>
      <c r="E64" s="452">
        <v>30</v>
      </c>
      <c r="F64" s="452">
        <v>3</v>
      </c>
      <c r="G64" s="452">
        <v>520</v>
      </c>
      <c r="H64" s="456">
        <f>2821317064-134723000+415402724-150000000-124540600-443540000</f>
        <v>2383916188</v>
      </c>
      <c r="I64" s="450">
        <f>2076323850-134723000+477180629-143160928-59156785-84272600</f>
        <v>2132191166</v>
      </c>
      <c r="J64" s="334" t="s">
        <v>1771</v>
      </c>
      <c r="K64" s="452" t="s">
        <v>55</v>
      </c>
      <c r="L64" s="343">
        <v>16</v>
      </c>
      <c r="M64" s="343">
        <v>16</v>
      </c>
    </row>
    <row r="65" spans="1:13" ht="46.5" thickTop="1" thickBot="1" x14ac:dyDescent="0.3">
      <c r="A65" s="622" t="s">
        <v>2475</v>
      </c>
      <c r="B65" s="451" t="s">
        <v>1724</v>
      </c>
      <c r="C65" s="672"/>
      <c r="D65" s="451">
        <v>3</v>
      </c>
      <c r="E65" s="451">
        <v>30</v>
      </c>
      <c r="F65" s="451">
        <v>3</v>
      </c>
      <c r="G65" s="451">
        <v>520</v>
      </c>
      <c r="H65" s="456">
        <v>443540000</v>
      </c>
      <c r="I65" s="450">
        <v>84272600</v>
      </c>
      <c r="J65" s="334" t="s">
        <v>1772</v>
      </c>
      <c r="K65" s="452" t="s">
        <v>55</v>
      </c>
      <c r="L65" s="343">
        <v>10</v>
      </c>
      <c r="M65" s="343">
        <v>0</v>
      </c>
    </row>
    <row r="66" spans="1:13" ht="35.25" thickTop="1" thickBot="1" x14ac:dyDescent="0.3">
      <c r="A66" s="622" t="s">
        <v>2475</v>
      </c>
      <c r="B66" s="451" t="s">
        <v>1724</v>
      </c>
      <c r="C66" s="672"/>
      <c r="D66" s="452">
        <v>3</v>
      </c>
      <c r="E66" s="452">
        <v>30</v>
      </c>
      <c r="F66" s="452">
        <v>3</v>
      </c>
      <c r="G66" s="452">
        <v>520</v>
      </c>
      <c r="H66" s="456">
        <v>150000000</v>
      </c>
      <c r="I66" s="450">
        <v>143160928</v>
      </c>
      <c r="J66" s="334" t="s">
        <v>1773</v>
      </c>
      <c r="K66" s="452" t="s">
        <v>25</v>
      </c>
      <c r="L66" s="343">
        <v>2</v>
      </c>
      <c r="M66" s="343">
        <v>2</v>
      </c>
    </row>
    <row r="67" spans="1:13" ht="35.25" thickTop="1" thickBot="1" x14ac:dyDescent="0.3">
      <c r="A67" s="622" t="s">
        <v>2475</v>
      </c>
      <c r="B67" s="451" t="s">
        <v>1724</v>
      </c>
      <c r="C67" s="672"/>
      <c r="D67" s="452">
        <v>3</v>
      </c>
      <c r="E67" s="452">
        <v>30</v>
      </c>
      <c r="F67" s="452">
        <v>3</v>
      </c>
      <c r="G67" s="452">
        <v>520</v>
      </c>
      <c r="H67" s="456">
        <v>124540600</v>
      </c>
      <c r="I67" s="450">
        <v>59156785</v>
      </c>
      <c r="J67" s="334" t="s">
        <v>1774</v>
      </c>
      <c r="K67" s="452" t="s">
        <v>60</v>
      </c>
      <c r="L67" s="343">
        <v>1</v>
      </c>
      <c r="M67" s="343">
        <v>1</v>
      </c>
    </row>
    <row r="68" spans="1:13" ht="60.75" customHeight="1" thickTop="1" thickBot="1" x14ac:dyDescent="0.3">
      <c r="A68" s="622" t="s">
        <v>2475</v>
      </c>
      <c r="B68" s="451" t="s">
        <v>1724</v>
      </c>
      <c r="C68" s="451" t="s">
        <v>90</v>
      </c>
      <c r="D68" s="452">
        <v>3</v>
      </c>
      <c r="E68" s="452">
        <v>30</v>
      </c>
      <c r="F68" s="452">
        <v>3</v>
      </c>
      <c r="G68" s="452">
        <v>520</v>
      </c>
      <c r="H68" s="456">
        <f>134723000+124906000</f>
        <v>259629000</v>
      </c>
      <c r="I68" s="450">
        <f>63993425+63993425+6736150+124906000</f>
        <v>259629000</v>
      </c>
      <c r="J68" s="334" t="s">
        <v>1775</v>
      </c>
      <c r="K68" s="452" t="s">
        <v>11</v>
      </c>
      <c r="L68" s="343">
        <v>3854</v>
      </c>
      <c r="M68" s="343">
        <v>3854</v>
      </c>
    </row>
    <row r="69" spans="1:13" ht="51.75" customHeight="1" thickTop="1" thickBot="1" x14ac:dyDescent="0.3">
      <c r="A69" s="622" t="s">
        <v>2475</v>
      </c>
      <c r="B69" s="451" t="s">
        <v>1724</v>
      </c>
      <c r="C69" s="451" t="s">
        <v>1074</v>
      </c>
      <c r="D69" s="452">
        <v>3</v>
      </c>
      <c r="E69" s="452">
        <v>30</v>
      </c>
      <c r="F69" s="452">
        <v>3</v>
      </c>
      <c r="G69" s="452">
        <v>540</v>
      </c>
      <c r="H69" s="456">
        <v>140000000</v>
      </c>
      <c r="I69" s="450">
        <v>0</v>
      </c>
      <c r="J69" s="334" t="s">
        <v>1776</v>
      </c>
      <c r="K69" s="452" t="s">
        <v>44</v>
      </c>
      <c r="L69" s="343">
        <v>1400</v>
      </c>
      <c r="M69" s="343">
        <v>0</v>
      </c>
    </row>
    <row r="70" spans="1:13" ht="16.5" thickTop="1" thickBot="1" x14ac:dyDescent="0.3"/>
    <row r="71" spans="1:13" ht="30" customHeight="1" thickTop="1" thickBot="1" x14ac:dyDescent="0.3">
      <c r="A71" s="639" t="s">
        <v>0</v>
      </c>
      <c r="B71" s="639" t="s">
        <v>1</v>
      </c>
      <c r="C71" s="639" t="s">
        <v>2569</v>
      </c>
      <c r="D71" s="636" t="s">
        <v>1961</v>
      </c>
      <c r="E71" s="637"/>
      <c r="F71" s="637"/>
      <c r="G71" s="638"/>
      <c r="H71" s="636" t="s">
        <v>3</v>
      </c>
      <c r="I71" s="637"/>
      <c r="J71" s="636" t="s">
        <v>1962</v>
      </c>
      <c r="K71" s="637"/>
      <c r="L71" s="637"/>
      <c r="M71" s="638"/>
    </row>
    <row r="72" spans="1:13" ht="34.5" customHeight="1" thickTop="1" thickBot="1" x14ac:dyDescent="0.3">
      <c r="A72" s="661"/>
      <c r="B72" s="661"/>
      <c r="C72" s="661"/>
      <c r="D72" s="445" t="s">
        <v>4</v>
      </c>
      <c r="E72" s="445" t="s">
        <v>5</v>
      </c>
      <c r="F72" s="445" t="s">
        <v>6</v>
      </c>
      <c r="G72" s="445" t="s">
        <v>7</v>
      </c>
      <c r="H72" s="445" t="s">
        <v>2</v>
      </c>
      <c r="I72" s="445" t="s">
        <v>3</v>
      </c>
      <c r="J72" s="445" t="s">
        <v>8</v>
      </c>
      <c r="K72" s="445" t="s">
        <v>9</v>
      </c>
      <c r="L72" s="445" t="s">
        <v>1963</v>
      </c>
      <c r="M72" s="445" t="s">
        <v>1964</v>
      </c>
    </row>
    <row r="73" spans="1:13" ht="46.5" thickTop="1" thickBot="1" x14ac:dyDescent="0.3">
      <c r="A73" s="449" t="s">
        <v>1777</v>
      </c>
      <c r="B73" s="449" t="s">
        <v>1724</v>
      </c>
      <c r="C73" s="651" t="s">
        <v>18</v>
      </c>
      <c r="D73" s="654">
        <v>2</v>
      </c>
      <c r="E73" s="654">
        <v>30</v>
      </c>
      <c r="F73" s="654">
        <v>3</v>
      </c>
      <c r="G73" s="654">
        <v>848</v>
      </c>
      <c r="H73" s="456">
        <v>2621942730</v>
      </c>
      <c r="I73" s="450">
        <v>1726498440</v>
      </c>
      <c r="J73" s="334" t="s">
        <v>1778</v>
      </c>
      <c r="K73" s="448" t="s">
        <v>20</v>
      </c>
      <c r="L73" s="446">
        <v>826</v>
      </c>
      <c r="M73" s="448">
        <v>826</v>
      </c>
    </row>
    <row r="74" spans="1:13" ht="48" customHeight="1" thickTop="1" thickBot="1" x14ac:dyDescent="0.3">
      <c r="A74" s="449" t="s">
        <v>1777</v>
      </c>
      <c r="B74" s="449" t="s">
        <v>1724</v>
      </c>
      <c r="C74" s="652"/>
      <c r="D74" s="654"/>
      <c r="E74" s="654"/>
      <c r="F74" s="654"/>
      <c r="G74" s="654"/>
      <c r="H74" s="456"/>
      <c r="I74" s="450"/>
      <c r="J74" s="334" t="s">
        <v>1779</v>
      </c>
      <c r="K74" s="448" t="s">
        <v>75</v>
      </c>
      <c r="L74" s="446">
        <v>130000</v>
      </c>
      <c r="M74" s="448">
        <v>109938</v>
      </c>
    </row>
    <row r="75" spans="1:13" ht="35.25" thickTop="1" thickBot="1" x14ac:dyDescent="0.3">
      <c r="A75" s="449" t="s">
        <v>1777</v>
      </c>
      <c r="B75" s="449" t="s">
        <v>1724</v>
      </c>
      <c r="C75" s="653"/>
      <c r="D75" s="449">
        <v>2</v>
      </c>
      <c r="E75" s="449">
        <v>30</v>
      </c>
      <c r="F75" s="449">
        <v>3</v>
      </c>
      <c r="G75" s="449">
        <v>960</v>
      </c>
      <c r="H75" s="456">
        <v>328896000</v>
      </c>
      <c r="I75" s="450">
        <v>328896000</v>
      </c>
      <c r="J75" s="334" t="s">
        <v>1780</v>
      </c>
      <c r="K75" s="446" t="s">
        <v>16</v>
      </c>
      <c r="L75" s="446">
        <v>5</v>
      </c>
      <c r="M75" s="448">
        <v>5</v>
      </c>
    </row>
    <row r="76" spans="1:13" ht="30.75" customHeight="1" thickTop="1" thickBot="1" x14ac:dyDescent="0.3">
      <c r="A76" s="449" t="s">
        <v>1777</v>
      </c>
      <c r="B76" s="449" t="s">
        <v>1724</v>
      </c>
      <c r="C76" s="654" t="s">
        <v>53</v>
      </c>
      <c r="D76" s="449">
        <v>2</v>
      </c>
      <c r="E76" s="449">
        <v>30</v>
      </c>
      <c r="F76" s="449">
        <v>3</v>
      </c>
      <c r="G76" s="449">
        <v>520</v>
      </c>
      <c r="H76" s="456">
        <v>2100000000</v>
      </c>
      <c r="I76" s="450">
        <v>0</v>
      </c>
      <c r="J76" s="334" t="s">
        <v>1781</v>
      </c>
      <c r="K76" s="446" t="s">
        <v>55</v>
      </c>
      <c r="L76" s="446">
        <v>20</v>
      </c>
      <c r="M76" s="448">
        <v>0</v>
      </c>
    </row>
    <row r="77" spans="1:13" ht="35.25" thickTop="1" thickBot="1" x14ac:dyDescent="0.3">
      <c r="A77" s="449" t="s">
        <v>1777</v>
      </c>
      <c r="B77" s="449" t="s">
        <v>1724</v>
      </c>
      <c r="C77" s="654"/>
      <c r="D77" s="449">
        <v>2</v>
      </c>
      <c r="E77" s="449">
        <v>30</v>
      </c>
      <c r="F77" s="449">
        <v>3</v>
      </c>
      <c r="G77" s="449">
        <v>520</v>
      </c>
      <c r="H77" s="456">
        <v>900000000</v>
      </c>
      <c r="I77" s="450">
        <v>0</v>
      </c>
      <c r="J77" s="334" t="s">
        <v>1782</v>
      </c>
      <c r="K77" s="446" t="s">
        <v>25</v>
      </c>
      <c r="L77" s="446">
        <v>10</v>
      </c>
      <c r="M77" s="448">
        <v>0</v>
      </c>
    </row>
    <row r="78" spans="1:13" ht="30.75" customHeight="1" thickTop="1" thickBot="1" x14ac:dyDescent="0.3">
      <c r="A78" s="449" t="s">
        <v>1777</v>
      </c>
      <c r="B78" s="449" t="s">
        <v>1724</v>
      </c>
      <c r="C78" s="654"/>
      <c r="D78" s="449">
        <v>2</v>
      </c>
      <c r="E78" s="449">
        <v>30</v>
      </c>
      <c r="F78" s="449">
        <v>3</v>
      </c>
      <c r="G78" s="449">
        <v>520</v>
      </c>
      <c r="H78" s="456">
        <v>2885290369</v>
      </c>
      <c r="I78" s="450">
        <v>0</v>
      </c>
      <c r="J78" s="334" t="s">
        <v>1783</v>
      </c>
      <c r="K78" s="446" t="s">
        <v>55</v>
      </c>
      <c r="L78" s="446">
        <v>50</v>
      </c>
      <c r="M78" s="448">
        <v>0</v>
      </c>
    </row>
    <row r="79" spans="1:13" ht="27.75" customHeight="1" thickTop="1" thickBot="1" x14ac:dyDescent="0.3">
      <c r="A79" s="449" t="s">
        <v>1777</v>
      </c>
      <c r="B79" s="449" t="s">
        <v>1724</v>
      </c>
      <c r="C79" s="654" t="s">
        <v>105</v>
      </c>
      <c r="D79" s="449">
        <v>2</v>
      </c>
      <c r="E79" s="449">
        <v>30</v>
      </c>
      <c r="F79" s="449">
        <v>3</v>
      </c>
      <c r="G79" s="449">
        <v>540</v>
      </c>
      <c r="H79" s="456">
        <v>440000000</v>
      </c>
      <c r="I79" s="450">
        <v>0</v>
      </c>
      <c r="J79" s="334" t="s">
        <v>1784</v>
      </c>
      <c r="K79" s="448" t="s">
        <v>44</v>
      </c>
      <c r="L79" s="446">
        <v>2500</v>
      </c>
      <c r="M79" s="448">
        <v>0</v>
      </c>
    </row>
    <row r="80" spans="1:13" ht="27.75" customHeight="1" thickTop="1" thickBot="1" x14ac:dyDescent="0.3">
      <c r="A80" s="449" t="s">
        <v>1777</v>
      </c>
      <c r="B80" s="449" t="s">
        <v>1724</v>
      </c>
      <c r="C80" s="654"/>
      <c r="D80" s="449">
        <v>2</v>
      </c>
      <c r="E80" s="449">
        <v>30</v>
      </c>
      <c r="F80" s="449">
        <v>3</v>
      </c>
      <c r="G80" s="449">
        <v>540</v>
      </c>
      <c r="H80" s="456">
        <v>80000000</v>
      </c>
      <c r="I80" s="450">
        <v>0</v>
      </c>
      <c r="J80" s="334" t="s">
        <v>1785</v>
      </c>
      <c r="K80" s="448" t="s">
        <v>66</v>
      </c>
      <c r="L80" s="446">
        <v>100</v>
      </c>
      <c r="M80" s="448">
        <v>0</v>
      </c>
    </row>
    <row r="81" spans="1:13" ht="27.75" customHeight="1" thickTop="1" thickBot="1" x14ac:dyDescent="0.3">
      <c r="A81" s="449" t="s">
        <v>1777</v>
      </c>
      <c r="B81" s="449" t="s">
        <v>1724</v>
      </c>
      <c r="C81" s="654"/>
      <c r="D81" s="449">
        <v>2</v>
      </c>
      <c r="E81" s="449">
        <v>30</v>
      </c>
      <c r="F81" s="449">
        <v>3</v>
      </c>
      <c r="G81" s="449">
        <v>540</v>
      </c>
      <c r="H81" s="456">
        <v>50000000</v>
      </c>
      <c r="I81" s="450">
        <v>0</v>
      </c>
      <c r="J81" s="334" t="s">
        <v>1786</v>
      </c>
      <c r="K81" s="448" t="s">
        <v>190</v>
      </c>
      <c r="L81" s="446">
        <v>100</v>
      </c>
      <c r="M81" s="448">
        <v>0</v>
      </c>
    </row>
    <row r="82" spans="1:13" ht="37.5" customHeight="1" thickTop="1" thickBot="1" x14ac:dyDescent="0.3">
      <c r="A82" s="449" t="s">
        <v>1777</v>
      </c>
      <c r="B82" s="449" t="s">
        <v>1724</v>
      </c>
      <c r="C82" s="654"/>
      <c r="D82" s="449">
        <v>2</v>
      </c>
      <c r="E82" s="449">
        <v>30</v>
      </c>
      <c r="F82" s="449">
        <v>3</v>
      </c>
      <c r="G82" s="449">
        <v>540</v>
      </c>
      <c r="H82" s="456">
        <v>30000000</v>
      </c>
      <c r="I82" s="450"/>
      <c r="J82" s="334" t="s">
        <v>1787</v>
      </c>
      <c r="K82" s="448" t="s">
        <v>190</v>
      </c>
      <c r="L82" s="446">
        <v>100</v>
      </c>
      <c r="M82" s="448">
        <v>0</v>
      </c>
    </row>
    <row r="83" spans="1:13" ht="37.5" customHeight="1" thickTop="1" thickBot="1" x14ac:dyDescent="0.3">
      <c r="A83" s="449" t="s">
        <v>1777</v>
      </c>
      <c r="B83" s="449" t="s">
        <v>1724</v>
      </c>
      <c r="C83" s="654"/>
      <c r="D83" s="449">
        <v>2</v>
      </c>
      <c r="E83" s="449">
        <v>30</v>
      </c>
      <c r="F83" s="449">
        <v>3</v>
      </c>
      <c r="G83" s="449">
        <v>540</v>
      </c>
      <c r="H83" s="456">
        <v>400000000</v>
      </c>
      <c r="I83" s="450">
        <v>0</v>
      </c>
      <c r="J83" s="334" t="s">
        <v>1788</v>
      </c>
      <c r="K83" s="459" t="s">
        <v>383</v>
      </c>
      <c r="L83" s="446">
        <v>100</v>
      </c>
      <c r="M83" s="448">
        <v>0</v>
      </c>
    </row>
    <row r="84" spans="1:13" ht="16.5" thickTop="1" thickBot="1" x14ac:dyDescent="0.3"/>
    <row r="85" spans="1:13" ht="30" customHeight="1" thickTop="1" thickBot="1" x14ac:dyDescent="0.3">
      <c r="A85" s="639" t="s">
        <v>0</v>
      </c>
      <c r="B85" s="639" t="s">
        <v>1</v>
      </c>
      <c r="C85" s="639" t="s">
        <v>2569</v>
      </c>
      <c r="D85" s="636" t="s">
        <v>1961</v>
      </c>
      <c r="E85" s="637"/>
      <c r="F85" s="637"/>
      <c r="G85" s="638"/>
      <c r="H85" s="636" t="s">
        <v>3</v>
      </c>
      <c r="I85" s="637"/>
      <c r="J85" s="636" t="s">
        <v>1962</v>
      </c>
      <c r="K85" s="637"/>
      <c r="L85" s="637"/>
      <c r="M85" s="638"/>
    </row>
    <row r="86" spans="1:13" ht="34.5" customHeight="1" thickTop="1" thickBot="1" x14ac:dyDescent="0.3">
      <c r="A86" s="661"/>
      <c r="B86" s="661"/>
      <c r="C86" s="661"/>
      <c r="D86" s="445" t="s">
        <v>4</v>
      </c>
      <c r="E86" s="445" t="s">
        <v>5</v>
      </c>
      <c r="F86" s="445" t="s">
        <v>6</v>
      </c>
      <c r="G86" s="445" t="s">
        <v>7</v>
      </c>
      <c r="H86" s="445" t="s">
        <v>2</v>
      </c>
      <c r="I86" s="445" t="s">
        <v>3</v>
      </c>
      <c r="J86" s="445" t="s">
        <v>8</v>
      </c>
      <c r="K86" s="445" t="s">
        <v>9</v>
      </c>
      <c r="L86" s="445" t="s">
        <v>1963</v>
      </c>
      <c r="M86" s="445" t="s">
        <v>1964</v>
      </c>
    </row>
    <row r="87" spans="1:13" ht="40.5" customHeight="1" thickTop="1" thickBot="1" x14ac:dyDescent="0.3">
      <c r="A87" s="449" t="s">
        <v>1789</v>
      </c>
      <c r="B87" s="449" t="s">
        <v>1724</v>
      </c>
      <c r="C87" s="449" t="s">
        <v>1790</v>
      </c>
      <c r="D87" s="448">
        <v>3</v>
      </c>
      <c r="E87" s="448">
        <v>30</v>
      </c>
      <c r="F87" s="448">
        <v>3</v>
      </c>
      <c r="G87" s="448">
        <v>848</v>
      </c>
      <c r="H87" s="456">
        <v>1781228223</v>
      </c>
      <c r="I87" s="450">
        <v>1232544600</v>
      </c>
      <c r="J87" s="334" t="s">
        <v>1791</v>
      </c>
      <c r="K87" s="448" t="s">
        <v>20</v>
      </c>
      <c r="L87" s="448">
        <v>1304</v>
      </c>
      <c r="M87" s="448">
        <v>1304</v>
      </c>
    </row>
    <row r="88" spans="1:13" ht="40.5" customHeight="1" thickTop="1" thickBot="1" x14ac:dyDescent="0.3">
      <c r="A88" s="449" t="s">
        <v>1789</v>
      </c>
      <c r="B88" s="449" t="s">
        <v>1724</v>
      </c>
      <c r="C88" s="654" t="s">
        <v>1046</v>
      </c>
      <c r="D88" s="448">
        <v>3</v>
      </c>
      <c r="E88" s="448">
        <v>30</v>
      </c>
      <c r="F88" s="448">
        <v>3</v>
      </c>
      <c r="G88" s="448">
        <v>520</v>
      </c>
      <c r="H88" s="456">
        <v>820000000</v>
      </c>
      <c r="I88" s="450">
        <v>817810762</v>
      </c>
      <c r="J88" s="334" t="s">
        <v>1792</v>
      </c>
      <c r="K88" s="448" t="s">
        <v>81</v>
      </c>
      <c r="L88" s="448">
        <v>15</v>
      </c>
      <c r="M88" s="448">
        <v>13</v>
      </c>
    </row>
    <row r="89" spans="1:13" ht="30.75" customHeight="1" thickTop="1" thickBot="1" x14ac:dyDescent="0.3">
      <c r="A89" s="449" t="s">
        <v>1789</v>
      </c>
      <c r="B89" s="449" t="s">
        <v>1724</v>
      </c>
      <c r="C89" s="654"/>
      <c r="D89" s="448">
        <v>3</v>
      </c>
      <c r="E89" s="448">
        <v>30</v>
      </c>
      <c r="F89" s="448">
        <v>3</v>
      </c>
      <c r="G89" s="448">
        <v>520</v>
      </c>
      <c r="H89" s="456">
        <v>3561563384</v>
      </c>
      <c r="I89" s="450">
        <v>919320944</v>
      </c>
      <c r="J89" s="334" t="s">
        <v>1793</v>
      </c>
      <c r="K89" s="448" t="s">
        <v>354</v>
      </c>
      <c r="L89" s="448">
        <v>11</v>
      </c>
      <c r="M89" s="448">
        <v>11</v>
      </c>
    </row>
    <row r="90" spans="1:13" ht="37.5" customHeight="1" thickTop="1" thickBot="1" x14ac:dyDescent="0.3">
      <c r="A90" s="449" t="s">
        <v>1789</v>
      </c>
      <c r="B90" s="449" t="s">
        <v>1724</v>
      </c>
      <c r="C90" s="654"/>
      <c r="D90" s="448">
        <v>3</v>
      </c>
      <c r="E90" s="448">
        <v>30</v>
      </c>
      <c r="F90" s="448">
        <v>3</v>
      </c>
      <c r="G90" s="448">
        <v>520</v>
      </c>
      <c r="H90" s="456">
        <v>150000000</v>
      </c>
      <c r="I90" s="450">
        <v>0</v>
      </c>
      <c r="J90" s="334" t="s">
        <v>1794</v>
      </c>
      <c r="K90" s="448" t="s">
        <v>81</v>
      </c>
      <c r="L90" s="448">
        <v>1</v>
      </c>
      <c r="M90" s="448">
        <v>0</v>
      </c>
    </row>
    <row r="91" spans="1:13" ht="37.5" customHeight="1" thickTop="1" thickBot="1" x14ac:dyDescent="0.3">
      <c r="A91" s="449" t="s">
        <v>1789</v>
      </c>
      <c r="B91" s="449" t="s">
        <v>1724</v>
      </c>
      <c r="C91" s="654"/>
      <c r="D91" s="448">
        <v>3</v>
      </c>
      <c r="E91" s="448">
        <v>30</v>
      </c>
      <c r="F91" s="448">
        <v>3</v>
      </c>
      <c r="G91" s="448">
        <v>520</v>
      </c>
      <c r="H91" s="456">
        <v>170000000</v>
      </c>
      <c r="I91" s="450">
        <v>0</v>
      </c>
      <c r="J91" s="334" t="s">
        <v>1795</v>
      </c>
      <c r="K91" s="448" t="s">
        <v>103</v>
      </c>
      <c r="L91" s="448">
        <v>2</v>
      </c>
      <c r="M91" s="448">
        <v>0</v>
      </c>
    </row>
    <row r="92" spans="1:13" ht="40.5" customHeight="1" thickTop="1" thickBot="1" x14ac:dyDescent="0.3">
      <c r="A92" s="449" t="s">
        <v>1789</v>
      </c>
      <c r="B92" s="449" t="s">
        <v>1724</v>
      </c>
      <c r="C92" s="484" t="s">
        <v>90</v>
      </c>
      <c r="D92" s="448">
        <v>3</v>
      </c>
      <c r="E92" s="448">
        <v>30</v>
      </c>
      <c r="F92" s="448">
        <v>3</v>
      </c>
      <c r="G92" s="448">
        <v>520</v>
      </c>
      <c r="H92" s="456">
        <v>300000000</v>
      </c>
      <c r="I92" s="450">
        <v>0</v>
      </c>
      <c r="J92" s="334" t="s">
        <v>1796</v>
      </c>
      <c r="K92" s="448" t="s">
        <v>11</v>
      </c>
      <c r="L92" s="448">
        <v>1500</v>
      </c>
      <c r="M92" s="448">
        <v>0</v>
      </c>
    </row>
    <row r="93" spans="1:13" ht="16.5" thickTop="1" thickBot="1" x14ac:dyDescent="0.3"/>
    <row r="94" spans="1:13" ht="30" customHeight="1" thickTop="1" thickBot="1" x14ac:dyDescent="0.3">
      <c r="A94" s="639" t="s">
        <v>0</v>
      </c>
      <c r="B94" s="639" t="s">
        <v>1</v>
      </c>
      <c r="C94" s="639" t="s">
        <v>2569</v>
      </c>
      <c r="D94" s="636" t="s">
        <v>1961</v>
      </c>
      <c r="E94" s="637"/>
      <c r="F94" s="637"/>
      <c r="G94" s="638"/>
      <c r="H94" s="636" t="s">
        <v>3</v>
      </c>
      <c r="I94" s="637"/>
      <c r="J94" s="636" t="s">
        <v>1962</v>
      </c>
      <c r="K94" s="637"/>
      <c r="L94" s="637"/>
      <c r="M94" s="638"/>
    </row>
    <row r="95" spans="1:13" ht="34.5" customHeight="1" thickTop="1" thickBot="1" x14ac:dyDescent="0.3">
      <c r="A95" s="661"/>
      <c r="B95" s="661"/>
      <c r="C95" s="661"/>
      <c r="D95" s="445" t="s">
        <v>4</v>
      </c>
      <c r="E95" s="445" t="s">
        <v>5</v>
      </c>
      <c r="F95" s="445" t="s">
        <v>6</v>
      </c>
      <c r="G95" s="445" t="s">
        <v>7</v>
      </c>
      <c r="H95" s="445" t="s">
        <v>2</v>
      </c>
      <c r="I95" s="445" t="s">
        <v>3</v>
      </c>
      <c r="J95" s="445" t="s">
        <v>8</v>
      </c>
      <c r="K95" s="445" t="s">
        <v>9</v>
      </c>
      <c r="L95" s="445" t="s">
        <v>1963</v>
      </c>
      <c r="M95" s="445" t="s">
        <v>1964</v>
      </c>
    </row>
    <row r="96" spans="1:13" ht="46.5" thickTop="1" thickBot="1" x14ac:dyDescent="0.3">
      <c r="A96" s="449" t="s">
        <v>2476</v>
      </c>
      <c r="B96" s="449" t="s">
        <v>1724</v>
      </c>
      <c r="C96" s="651" t="s">
        <v>18</v>
      </c>
      <c r="D96" s="449">
        <v>3</v>
      </c>
      <c r="E96" s="449">
        <v>30</v>
      </c>
      <c r="F96" s="367" t="s">
        <v>297</v>
      </c>
      <c r="G96" s="449">
        <v>848</v>
      </c>
      <c r="H96" s="456">
        <v>1800000000</v>
      </c>
      <c r="I96" s="450">
        <v>1758312000</v>
      </c>
      <c r="J96" s="334" t="s">
        <v>1797</v>
      </c>
      <c r="K96" s="448" t="s">
        <v>114</v>
      </c>
      <c r="L96" s="448">
        <v>1715</v>
      </c>
      <c r="M96" s="448">
        <v>1715</v>
      </c>
    </row>
    <row r="97" spans="1:13" ht="46.5" thickTop="1" thickBot="1" x14ac:dyDescent="0.3">
      <c r="A97" s="621" t="s">
        <v>2476</v>
      </c>
      <c r="B97" s="449" t="s">
        <v>1724</v>
      </c>
      <c r="C97" s="653"/>
      <c r="D97" s="449">
        <v>3</v>
      </c>
      <c r="E97" s="449">
        <v>30</v>
      </c>
      <c r="F97" s="367" t="s">
        <v>297</v>
      </c>
      <c r="G97" s="449">
        <v>960</v>
      </c>
      <c r="H97" s="456">
        <v>467398800</v>
      </c>
      <c r="I97" s="450">
        <v>467398800</v>
      </c>
      <c r="J97" s="334" t="s">
        <v>1798</v>
      </c>
      <c r="K97" s="448" t="s">
        <v>16</v>
      </c>
      <c r="L97" s="448">
        <v>1</v>
      </c>
      <c r="M97" s="448">
        <v>1</v>
      </c>
    </row>
    <row r="98" spans="1:13" ht="39" customHeight="1" thickTop="1" thickBot="1" x14ac:dyDescent="0.3">
      <c r="A98" s="621" t="s">
        <v>2476</v>
      </c>
      <c r="B98" s="449" t="s">
        <v>1724</v>
      </c>
      <c r="C98" s="651" t="s">
        <v>53</v>
      </c>
      <c r="D98" s="449">
        <v>3</v>
      </c>
      <c r="E98" s="449">
        <v>30</v>
      </c>
      <c r="F98" s="367" t="s">
        <v>297</v>
      </c>
      <c r="G98" s="449">
        <v>520</v>
      </c>
      <c r="H98" s="456">
        <f>91608636+150918160+3291578+123503718+51376322+90093895+75902687+64751874+54495606+92748455+97541258+161309299+75188514+97141062+111699429+99221599+96042423+319580588+149091958+125000000+125000000+101970324+125000000+125000000+125000000+125000000+125000000+125000000+125000000+200000000</f>
        <v>3432477385</v>
      </c>
      <c r="I98" s="450">
        <v>2711240765</v>
      </c>
      <c r="J98" s="334" t="s">
        <v>1799</v>
      </c>
      <c r="K98" s="448" t="s">
        <v>55</v>
      </c>
      <c r="L98" s="448">
        <v>25</v>
      </c>
      <c r="M98" s="448">
        <v>25</v>
      </c>
    </row>
    <row r="99" spans="1:13" ht="33.75" customHeight="1" thickTop="1" thickBot="1" x14ac:dyDescent="0.3">
      <c r="A99" s="621" t="s">
        <v>2476</v>
      </c>
      <c r="B99" s="449" t="s">
        <v>1724</v>
      </c>
      <c r="C99" s="652"/>
      <c r="D99" s="449">
        <v>3</v>
      </c>
      <c r="E99" s="449">
        <v>30</v>
      </c>
      <c r="F99" s="367" t="s">
        <v>297</v>
      </c>
      <c r="G99" s="449">
        <v>520</v>
      </c>
      <c r="H99" s="456">
        <f>106347149+50507683+301719+9850407+28566019+144063635+100000000</f>
        <v>439636612</v>
      </c>
      <c r="I99" s="450">
        <v>314019009</v>
      </c>
      <c r="J99" s="334" t="s">
        <v>1800</v>
      </c>
      <c r="K99" s="448" t="s">
        <v>25</v>
      </c>
      <c r="L99" s="448">
        <v>7</v>
      </c>
      <c r="M99" s="448">
        <v>7</v>
      </c>
    </row>
    <row r="100" spans="1:13" ht="46.5" thickTop="1" thickBot="1" x14ac:dyDescent="0.3">
      <c r="A100" s="621" t="s">
        <v>2476</v>
      </c>
      <c r="B100" s="449" t="s">
        <v>1724</v>
      </c>
      <c r="C100" s="653"/>
      <c r="D100" s="449">
        <v>3</v>
      </c>
      <c r="E100" s="449">
        <v>30</v>
      </c>
      <c r="F100" s="367" t="s">
        <v>297</v>
      </c>
      <c r="G100" s="449">
        <v>520</v>
      </c>
      <c r="H100" s="456">
        <v>1310897793</v>
      </c>
      <c r="I100" s="450">
        <v>1302622096</v>
      </c>
      <c r="J100" s="334" t="s">
        <v>1801</v>
      </c>
      <c r="K100" s="448" t="s">
        <v>13</v>
      </c>
      <c r="L100" s="448">
        <v>33</v>
      </c>
      <c r="M100" s="448">
        <v>33</v>
      </c>
    </row>
    <row r="101" spans="1:13" ht="41.25" customHeight="1" thickTop="1" thickBot="1" x14ac:dyDescent="0.3">
      <c r="A101" s="621" t="s">
        <v>2476</v>
      </c>
      <c r="B101" s="449" t="s">
        <v>1724</v>
      </c>
      <c r="C101" s="449" t="s">
        <v>90</v>
      </c>
      <c r="D101" s="449">
        <v>3</v>
      </c>
      <c r="E101" s="449">
        <v>30</v>
      </c>
      <c r="F101" s="367" t="s">
        <v>297</v>
      </c>
      <c r="G101" s="449">
        <v>520</v>
      </c>
      <c r="H101" s="456">
        <v>1400000000</v>
      </c>
      <c r="I101" s="450">
        <v>1204695422</v>
      </c>
      <c r="J101" s="334" t="s">
        <v>1802</v>
      </c>
      <c r="K101" s="448" t="s">
        <v>11</v>
      </c>
      <c r="L101" s="448">
        <v>19549</v>
      </c>
      <c r="M101" s="448">
        <v>19549</v>
      </c>
    </row>
    <row r="102" spans="1:13" ht="41.25" customHeight="1" thickTop="1" thickBot="1" x14ac:dyDescent="0.3">
      <c r="A102" s="621" t="s">
        <v>2476</v>
      </c>
      <c r="B102" s="449" t="s">
        <v>1724</v>
      </c>
      <c r="C102" s="449" t="s">
        <v>1803</v>
      </c>
      <c r="D102" s="449">
        <v>3</v>
      </c>
      <c r="E102" s="449">
        <v>30</v>
      </c>
      <c r="F102" s="367" t="s">
        <v>297</v>
      </c>
      <c r="G102" s="449">
        <v>540</v>
      </c>
      <c r="H102" s="456">
        <v>1246630000</v>
      </c>
      <c r="I102" s="450">
        <v>1152642400</v>
      </c>
      <c r="J102" s="334" t="s">
        <v>1804</v>
      </c>
      <c r="K102" s="448" t="s">
        <v>17</v>
      </c>
      <c r="L102" s="448">
        <v>10666</v>
      </c>
      <c r="M102" s="448">
        <v>10666</v>
      </c>
    </row>
    <row r="103" spans="1:13" ht="50.25" customHeight="1" thickTop="1" thickBot="1" x14ac:dyDescent="0.3">
      <c r="A103" s="621" t="s">
        <v>2476</v>
      </c>
      <c r="B103" s="449" t="s">
        <v>1724</v>
      </c>
      <c r="C103" s="449" t="s">
        <v>53</v>
      </c>
      <c r="D103" s="449">
        <v>3</v>
      </c>
      <c r="E103" s="449">
        <v>30</v>
      </c>
      <c r="F103" s="367" t="s">
        <v>297</v>
      </c>
      <c r="G103" s="449">
        <v>980</v>
      </c>
      <c r="H103" s="456">
        <v>684964889</v>
      </c>
      <c r="I103" s="450">
        <v>678805889</v>
      </c>
      <c r="J103" s="334" t="s">
        <v>1805</v>
      </c>
      <c r="K103" s="448" t="s">
        <v>16</v>
      </c>
      <c r="L103" s="448">
        <v>2</v>
      </c>
      <c r="M103" s="448">
        <v>2</v>
      </c>
    </row>
    <row r="104" spans="1:13" ht="16.5" thickTop="1" thickBot="1" x14ac:dyDescent="0.3"/>
    <row r="105" spans="1:13" ht="30" customHeight="1" thickTop="1" thickBot="1" x14ac:dyDescent="0.3">
      <c r="A105" s="639" t="s">
        <v>0</v>
      </c>
      <c r="B105" s="639" t="s">
        <v>1</v>
      </c>
      <c r="C105" s="639" t="s">
        <v>2569</v>
      </c>
      <c r="D105" s="636" t="s">
        <v>1961</v>
      </c>
      <c r="E105" s="637"/>
      <c r="F105" s="637"/>
      <c r="G105" s="638"/>
      <c r="H105" s="636" t="s">
        <v>3</v>
      </c>
      <c r="I105" s="637"/>
      <c r="J105" s="636" t="s">
        <v>1962</v>
      </c>
      <c r="K105" s="637"/>
      <c r="L105" s="637"/>
      <c r="M105" s="638"/>
    </row>
    <row r="106" spans="1:13" ht="34.5" customHeight="1" thickTop="1" thickBot="1" x14ac:dyDescent="0.3">
      <c r="A106" s="661"/>
      <c r="B106" s="661"/>
      <c r="C106" s="661"/>
      <c r="D106" s="445" t="s">
        <v>4</v>
      </c>
      <c r="E106" s="445" t="s">
        <v>5</v>
      </c>
      <c r="F106" s="445" t="s">
        <v>6</v>
      </c>
      <c r="G106" s="445" t="s">
        <v>7</v>
      </c>
      <c r="H106" s="445" t="s">
        <v>2</v>
      </c>
      <c r="I106" s="445" t="s">
        <v>3</v>
      </c>
      <c r="J106" s="445" t="s">
        <v>8</v>
      </c>
      <c r="K106" s="445" t="s">
        <v>9</v>
      </c>
      <c r="L106" s="445" t="s">
        <v>1963</v>
      </c>
      <c r="M106" s="445" t="s">
        <v>1964</v>
      </c>
    </row>
    <row r="107" spans="1:13" ht="57.75" thickTop="1" thickBot="1" x14ac:dyDescent="0.3">
      <c r="A107" s="449" t="s">
        <v>1806</v>
      </c>
      <c r="B107" s="449" t="s">
        <v>1724</v>
      </c>
      <c r="C107" s="449" t="s">
        <v>18</v>
      </c>
      <c r="D107" s="449">
        <v>3</v>
      </c>
      <c r="E107" s="449">
        <v>30</v>
      </c>
      <c r="F107" s="367">
        <v>3</v>
      </c>
      <c r="G107" s="449">
        <v>848</v>
      </c>
      <c r="H107" s="456">
        <v>1137578217</v>
      </c>
      <c r="I107" s="450">
        <v>313819200</v>
      </c>
      <c r="J107" s="334" t="s">
        <v>1807</v>
      </c>
      <c r="K107" s="448" t="s">
        <v>20</v>
      </c>
      <c r="L107" s="448">
        <v>47500</v>
      </c>
      <c r="M107" s="448">
        <v>13470</v>
      </c>
    </row>
    <row r="108" spans="1:13" ht="46.5" customHeight="1" thickTop="1" thickBot="1" x14ac:dyDescent="0.3">
      <c r="A108" s="449" t="s">
        <v>1806</v>
      </c>
      <c r="B108" s="449" t="s">
        <v>1724</v>
      </c>
      <c r="C108" s="651" t="s">
        <v>53</v>
      </c>
      <c r="D108" s="449">
        <v>3</v>
      </c>
      <c r="E108" s="449">
        <v>30</v>
      </c>
      <c r="F108" s="367">
        <v>3</v>
      </c>
      <c r="G108" s="449">
        <v>520</v>
      </c>
      <c r="H108" s="456">
        <v>825680481</v>
      </c>
      <c r="I108" s="450">
        <v>423225075</v>
      </c>
      <c r="J108" s="334" t="s">
        <v>1808</v>
      </c>
      <c r="K108" s="448" t="s">
        <v>55</v>
      </c>
      <c r="L108" s="448">
        <v>10</v>
      </c>
      <c r="M108" s="448">
        <v>5</v>
      </c>
    </row>
    <row r="109" spans="1:13" ht="39" customHeight="1" thickTop="1" thickBot="1" x14ac:dyDescent="0.3">
      <c r="A109" s="449" t="s">
        <v>1806</v>
      </c>
      <c r="B109" s="449" t="s">
        <v>1724</v>
      </c>
      <c r="C109" s="653"/>
      <c r="D109" s="449">
        <v>3</v>
      </c>
      <c r="E109" s="449">
        <v>30</v>
      </c>
      <c r="F109" s="367">
        <v>3</v>
      </c>
      <c r="G109" s="449">
        <v>520</v>
      </c>
      <c r="H109" s="456">
        <v>1251903797</v>
      </c>
      <c r="I109" s="450">
        <v>0</v>
      </c>
      <c r="J109" s="334" t="s">
        <v>1809</v>
      </c>
      <c r="K109" s="448" t="s">
        <v>55</v>
      </c>
      <c r="L109" s="448">
        <v>15</v>
      </c>
      <c r="M109" s="448">
        <v>0</v>
      </c>
    </row>
    <row r="110" spans="1:13" ht="39" customHeight="1" thickTop="1" thickBot="1" x14ac:dyDescent="0.3">
      <c r="A110" s="449" t="s">
        <v>1806</v>
      </c>
      <c r="B110" s="449" t="s">
        <v>1724</v>
      </c>
      <c r="C110" s="449" t="s">
        <v>105</v>
      </c>
      <c r="D110" s="449">
        <v>3</v>
      </c>
      <c r="E110" s="449">
        <v>30</v>
      </c>
      <c r="F110" s="367">
        <v>3</v>
      </c>
      <c r="G110" s="449">
        <v>530</v>
      </c>
      <c r="H110" s="456">
        <v>100000000</v>
      </c>
      <c r="I110" s="450">
        <v>0</v>
      </c>
      <c r="J110" s="334" t="s">
        <v>1810</v>
      </c>
      <c r="K110" s="448" t="s">
        <v>261</v>
      </c>
      <c r="L110" s="448">
        <v>667</v>
      </c>
      <c r="M110" s="448">
        <v>0</v>
      </c>
    </row>
    <row r="111" spans="1:13" ht="37.5" customHeight="1" thickTop="1" thickBot="1" x14ac:dyDescent="0.3">
      <c r="A111" s="449" t="s">
        <v>1806</v>
      </c>
      <c r="B111" s="449" t="s">
        <v>1724</v>
      </c>
      <c r="C111" s="449" t="s">
        <v>105</v>
      </c>
      <c r="D111" s="449">
        <v>3</v>
      </c>
      <c r="E111" s="449">
        <v>30</v>
      </c>
      <c r="F111" s="367">
        <v>3</v>
      </c>
      <c r="G111" s="449">
        <v>540</v>
      </c>
      <c r="H111" s="456">
        <v>476764893</v>
      </c>
      <c r="I111" s="450">
        <v>0</v>
      </c>
      <c r="J111" s="334" t="s">
        <v>1811</v>
      </c>
      <c r="K111" s="459" t="s">
        <v>383</v>
      </c>
      <c r="L111" s="448">
        <v>60</v>
      </c>
      <c r="M111" s="448">
        <v>0</v>
      </c>
    </row>
    <row r="112" spans="1:13" ht="16.5" thickTop="1" thickBot="1" x14ac:dyDescent="0.3"/>
    <row r="113" spans="1:13" ht="30" customHeight="1" thickTop="1" thickBot="1" x14ac:dyDescent="0.3">
      <c r="A113" s="639" t="s">
        <v>0</v>
      </c>
      <c r="B113" s="639" t="s">
        <v>1</v>
      </c>
      <c r="C113" s="639" t="s">
        <v>2569</v>
      </c>
      <c r="D113" s="636" t="s">
        <v>1961</v>
      </c>
      <c r="E113" s="637"/>
      <c r="F113" s="637"/>
      <c r="G113" s="638"/>
      <c r="H113" s="636" t="s">
        <v>3</v>
      </c>
      <c r="I113" s="637"/>
      <c r="J113" s="636" t="s">
        <v>1962</v>
      </c>
      <c r="K113" s="637"/>
      <c r="L113" s="637"/>
      <c r="M113" s="638"/>
    </row>
    <row r="114" spans="1:13" ht="34.5" customHeight="1" thickTop="1" thickBot="1" x14ac:dyDescent="0.3">
      <c r="A114" s="661"/>
      <c r="B114" s="661"/>
      <c r="C114" s="661"/>
      <c r="D114" s="445" t="s">
        <v>4</v>
      </c>
      <c r="E114" s="445" t="s">
        <v>5</v>
      </c>
      <c r="F114" s="445" t="s">
        <v>6</v>
      </c>
      <c r="G114" s="445" t="s">
        <v>7</v>
      </c>
      <c r="H114" s="445" t="s">
        <v>2</v>
      </c>
      <c r="I114" s="445" t="s">
        <v>3</v>
      </c>
      <c r="J114" s="445" t="s">
        <v>8</v>
      </c>
      <c r="K114" s="445" t="s">
        <v>9</v>
      </c>
      <c r="L114" s="445" t="s">
        <v>1963</v>
      </c>
      <c r="M114" s="445" t="s">
        <v>1964</v>
      </c>
    </row>
    <row r="115" spans="1:13" ht="39.75" customHeight="1" thickTop="1" thickBot="1" x14ac:dyDescent="0.3">
      <c r="A115" s="449" t="s">
        <v>1812</v>
      </c>
      <c r="B115" s="449" t="s">
        <v>1724</v>
      </c>
      <c r="C115" s="651" t="s">
        <v>18</v>
      </c>
      <c r="D115" s="449">
        <v>3</v>
      </c>
      <c r="E115" s="449">
        <v>30</v>
      </c>
      <c r="F115" s="367">
        <v>3</v>
      </c>
      <c r="G115" s="449">
        <v>848</v>
      </c>
      <c r="H115" s="456">
        <v>477953669</v>
      </c>
      <c r="I115" s="450">
        <v>195322190</v>
      </c>
      <c r="J115" s="447" t="s">
        <v>1813</v>
      </c>
      <c r="K115" s="448" t="s">
        <v>20</v>
      </c>
      <c r="L115" s="448">
        <v>1800</v>
      </c>
      <c r="M115" s="448">
        <v>740</v>
      </c>
    </row>
    <row r="116" spans="1:13" ht="39.75" customHeight="1" thickTop="1" thickBot="1" x14ac:dyDescent="0.3">
      <c r="A116" s="449" t="s">
        <v>1812</v>
      </c>
      <c r="B116" s="449" t="s">
        <v>1724</v>
      </c>
      <c r="C116" s="653"/>
      <c r="D116" s="449">
        <v>3</v>
      </c>
      <c r="E116" s="449">
        <v>30</v>
      </c>
      <c r="F116" s="367">
        <v>3</v>
      </c>
      <c r="G116" s="449">
        <v>960</v>
      </c>
      <c r="H116" s="456">
        <v>47328000</v>
      </c>
      <c r="I116" s="450">
        <v>47328000</v>
      </c>
      <c r="J116" s="447" t="s">
        <v>1814</v>
      </c>
      <c r="K116" s="448" t="s">
        <v>16</v>
      </c>
      <c r="L116" s="448">
        <v>1</v>
      </c>
      <c r="M116" s="448">
        <v>1</v>
      </c>
    </row>
    <row r="117" spans="1:13" ht="54.75" customHeight="1" thickTop="1" thickBot="1" x14ac:dyDescent="0.3">
      <c r="A117" s="449" t="s">
        <v>1812</v>
      </c>
      <c r="B117" s="449" t="s">
        <v>1724</v>
      </c>
      <c r="C117" s="449" t="s">
        <v>53</v>
      </c>
      <c r="D117" s="449">
        <v>3</v>
      </c>
      <c r="E117" s="449">
        <v>30</v>
      </c>
      <c r="F117" s="367">
        <v>3</v>
      </c>
      <c r="G117" s="449">
        <v>520</v>
      </c>
      <c r="H117" s="456">
        <v>172062695</v>
      </c>
      <c r="I117" s="450">
        <v>172062695</v>
      </c>
      <c r="J117" s="447" t="s">
        <v>1815</v>
      </c>
      <c r="K117" s="448" t="s">
        <v>25</v>
      </c>
      <c r="L117" s="448">
        <v>2</v>
      </c>
      <c r="M117" s="448">
        <v>2</v>
      </c>
    </row>
    <row r="118" spans="1:13" ht="39.75" customHeight="1" thickTop="1" thickBot="1" x14ac:dyDescent="0.3">
      <c r="A118" s="449" t="s">
        <v>1812</v>
      </c>
      <c r="B118" s="449" t="s">
        <v>1724</v>
      </c>
      <c r="C118" s="651" t="s">
        <v>53</v>
      </c>
      <c r="D118" s="449">
        <v>3</v>
      </c>
      <c r="E118" s="449">
        <v>30</v>
      </c>
      <c r="F118" s="367">
        <v>3</v>
      </c>
      <c r="G118" s="449">
        <v>520</v>
      </c>
      <c r="H118" s="456">
        <f>959239426-H117</f>
        <v>787176731</v>
      </c>
      <c r="I118" s="450">
        <v>0</v>
      </c>
      <c r="J118" s="447" t="s">
        <v>1816</v>
      </c>
      <c r="K118" s="448" t="s">
        <v>13</v>
      </c>
      <c r="L118" s="448">
        <v>6</v>
      </c>
      <c r="M118" s="448">
        <v>0</v>
      </c>
    </row>
    <row r="119" spans="1:13" ht="39.75" customHeight="1" thickTop="1" thickBot="1" x14ac:dyDescent="0.3">
      <c r="A119" s="449" t="s">
        <v>1812</v>
      </c>
      <c r="B119" s="449" t="s">
        <v>1724</v>
      </c>
      <c r="C119" s="652"/>
      <c r="D119" s="449">
        <v>3</v>
      </c>
      <c r="E119" s="449">
        <v>30</v>
      </c>
      <c r="F119" s="367">
        <v>3</v>
      </c>
      <c r="G119" s="449">
        <v>540</v>
      </c>
      <c r="H119" s="456">
        <v>85735463</v>
      </c>
      <c r="I119" s="450">
        <v>0</v>
      </c>
      <c r="J119" s="447" t="s">
        <v>1817</v>
      </c>
      <c r="K119" s="448" t="s">
        <v>17</v>
      </c>
      <c r="L119" s="448">
        <v>30</v>
      </c>
      <c r="M119" s="448">
        <v>0</v>
      </c>
    </row>
    <row r="120" spans="1:13" ht="36" customHeight="1" thickTop="1" thickBot="1" x14ac:dyDescent="0.3">
      <c r="A120" s="449" t="s">
        <v>1812</v>
      </c>
      <c r="B120" s="449" t="s">
        <v>1724</v>
      </c>
      <c r="C120" s="653"/>
      <c r="D120" s="449">
        <v>3</v>
      </c>
      <c r="E120" s="449">
        <v>30</v>
      </c>
      <c r="F120" s="367">
        <v>3</v>
      </c>
      <c r="G120" s="449">
        <v>980</v>
      </c>
      <c r="H120" s="456">
        <v>180682338</v>
      </c>
      <c r="I120" s="450">
        <v>180682338</v>
      </c>
      <c r="J120" s="447" t="s">
        <v>1818</v>
      </c>
      <c r="K120" s="448" t="s">
        <v>16</v>
      </c>
      <c r="L120" s="448">
        <v>1</v>
      </c>
      <c r="M120" s="448">
        <v>1</v>
      </c>
    </row>
    <row r="121" spans="1:13" ht="16.5" thickTop="1" thickBot="1" x14ac:dyDescent="0.3"/>
    <row r="122" spans="1:13" ht="30" customHeight="1" thickTop="1" thickBot="1" x14ac:dyDescent="0.3">
      <c r="A122" s="639" t="s">
        <v>0</v>
      </c>
      <c r="B122" s="639" t="s">
        <v>1</v>
      </c>
      <c r="C122" s="639" t="s">
        <v>2569</v>
      </c>
      <c r="D122" s="636" t="s">
        <v>1961</v>
      </c>
      <c r="E122" s="637"/>
      <c r="F122" s="637"/>
      <c r="G122" s="638"/>
      <c r="H122" s="636" t="s">
        <v>3</v>
      </c>
      <c r="I122" s="637"/>
      <c r="J122" s="636" t="s">
        <v>1962</v>
      </c>
      <c r="K122" s="637"/>
      <c r="L122" s="637"/>
      <c r="M122" s="638"/>
    </row>
    <row r="123" spans="1:13" ht="34.5" customHeight="1" thickTop="1" thickBot="1" x14ac:dyDescent="0.3">
      <c r="A123" s="661"/>
      <c r="B123" s="661"/>
      <c r="C123" s="661"/>
      <c r="D123" s="445" t="s">
        <v>4</v>
      </c>
      <c r="E123" s="445" t="s">
        <v>5</v>
      </c>
      <c r="F123" s="445" t="s">
        <v>6</v>
      </c>
      <c r="G123" s="445" t="s">
        <v>7</v>
      </c>
      <c r="H123" s="445" t="s">
        <v>2</v>
      </c>
      <c r="I123" s="445" t="s">
        <v>3</v>
      </c>
      <c r="J123" s="445" t="s">
        <v>8</v>
      </c>
      <c r="K123" s="445" t="s">
        <v>9</v>
      </c>
      <c r="L123" s="445" t="s">
        <v>1963</v>
      </c>
      <c r="M123" s="445" t="s">
        <v>1964</v>
      </c>
    </row>
    <row r="124" spans="1:13" ht="50.25" customHeight="1" thickTop="1" thickBot="1" x14ac:dyDescent="0.3">
      <c r="A124" s="449" t="s">
        <v>1819</v>
      </c>
      <c r="B124" s="449" t="s">
        <v>1724</v>
      </c>
      <c r="C124" s="449" t="s">
        <v>18</v>
      </c>
      <c r="D124" s="449">
        <v>3</v>
      </c>
      <c r="E124" s="449">
        <v>30</v>
      </c>
      <c r="F124" s="367">
        <v>3</v>
      </c>
      <c r="G124" s="449">
        <v>848</v>
      </c>
      <c r="H124" s="456">
        <v>2311471020</v>
      </c>
      <c r="I124" s="450">
        <v>455520000</v>
      </c>
      <c r="J124" s="447" t="s">
        <v>1820</v>
      </c>
      <c r="K124" s="448" t="s">
        <v>20</v>
      </c>
      <c r="L124" s="448">
        <v>870</v>
      </c>
      <c r="M124" s="448">
        <v>870</v>
      </c>
    </row>
    <row r="125" spans="1:13" ht="50.25" customHeight="1" thickTop="1" thickBot="1" x14ac:dyDescent="0.3">
      <c r="A125" s="449" t="s">
        <v>1819</v>
      </c>
      <c r="B125" s="449" t="s">
        <v>1724</v>
      </c>
      <c r="C125" s="449" t="s">
        <v>53</v>
      </c>
      <c r="D125" s="449">
        <v>3</v>
      </c>
      <c r="E125" s="449">
        <v>30</v>
      </c>
      <c r="F125" s="367">
        <v>3</v>
      </c>
      <c r="G125" s="449">
        <v>520</v>
      </c>
      <c r="H125" s="456">
        <v>5393432377</v>
      </c>
      <c r="I125" s="450">
        <v>879134341</v>
      </c>
      <c r="J125" s="447" t="s">
        <v>1821</v>
      </c>
      <c r="K125" s="448" t="s">
        <v>55</v>
      </c>
      <c r="L125" s="448">
        <v>33</v>
      </c>
      <c r="M125" s="448">
        <v>8</v>
      </c>
    </row>
    <row r="126" spans="1:13" ht="16.5" thickTop="1" thickBot="1" x14ac:dyDescent="0.3"/>
    <row r="127" spans="1:13" ht="30" customHeight="1" thickTop="1" thickBot="1" x14ac:dyDescent="0.3">
      <c r="A127" s="639" t="s">
        <v>0</v>
      </c>
      <c r="B127" s="639" t="s">
        <v>1</v>
      </c>
      <c r="C127" s="639" t="s">
        <v>2569</v>
      </c>
      <c r="D127" s="636" t="s">
        <v>1961</v>
      </c>
      <c r="E127" s="637"/>
      <c r="F127" s="637"/>
      <c r="G127" s="638"/>
      <c r="H127" s="636" t="s">
        <v>3</v>
      </c>
      <c r="I127" s="637"/>
      <c r="J127" s="636" t="s">
        <v>1962</v>
      </c>
      <c r="K127" s="637"/>
      <c r="L127" s="637"/>
      <c r="M127" s="638"/>
    </row>
    <row r="128" spans="1:13" ht="34.5" customHeight="1" thickTop="1" thickBot="1" x14ac:dyDescent="0.3">
      <c r="A128" s="661"/>
      <c r="B128" s="661"/>
      <c r="C128" s="661"/>
      <c r="D128" s="445" t="s">
        <v>4</v>
      </c>
      <c r="E128" s="445" t="s">
        <v>5</v>
      </c>
      <c r="F128" s="445" t="s">
        <v>6</v>
      </c>
      <c r="G128" s="445" t="s">
        <v>7</v>
      </c>
      <c r="H128" s="445" t="s">
        <v>2</v>
      </c>
      <c r="I128" s="445" t="s">
        <v>3</v>
      </c>
      <c r="J128" s="445" t="s">
        <v>8</v>
      </c>
      <c r="K128" s="445" t="s">
        <v>9</v>
      </c>
      <c r="L128" s="445" t="s">
        <v>1963</v>
      </c>
      <c r="M128" s="445" t="s">
        <v>1964</v>
      </c>
    </row>
    <row r="129" spans="1:13" ht="75" customHeight="1" thickTop="1" thickBot="1" x14ac:dyDescent="0.3">
      <c r="A129" s="449" t="s">
        <v>1822</v>
      </c>
      <c r="B129" s="449" t="s">
        <v>1724</v>
      </c>
      <c r="C129" s="449" t="s">
        <v>18</v>
      </c>
      <c r="D129" s="449">
        <v>3</v>
      </c>
      <c r="E129" s="449">
        <v>30</v>
      </c>
      <c r="F129" s="367">
        <v>3</v>
      </c>
      <c r="G129" s="449">
        <v>848</v>
      </c>
      <c r="H129" s="456">
        <v>442946850</v>
      </c>
      <c r="I129" s="450">
        <v>354255000</v>
      </c>
      <c r="J129" s="447" t="s">
        <v>1823</v>
      </c>
      <c r="K129" s="448" t="s">
        <v>20</v>
      </c>
      <c r="L129" s="448">
        <v>350</v>
      </c>
      <c r="M129" s="448">
        <v>280</v>
      </c>
    </row>
    <row r="130" spans="1:13" ht="48.75" customHeight="1" thickTop="1" thickBot="1" x14ac:dyDescent="0.3">
      <c r="A130" s="449" t="s">
        <v>1822</v>
      </c>
      <c r="B130" s="449" t="s">
        <v>1724</v>
      </c>
      <c r="C130" s="449" t="s">
        <v>53</v>
      </c>
      <c r="D130" s="449">
        <v>3</v>
      </c>
      <c r="E130" s="449">
        <v>30</v>
      </c>
      <c r="F130" s="367">
        <v>3</v>
      </c>
      <c r="G130" s="449">
        <v>520</v>
      </c>
      <c r="H130" s="456">
        <v>833542650</v>
      </c>
      <c r="I130" s="450">
        <v>519664720</v>
      </c>
      <c r="J130" s="447" t="s">
        <v>2126</v>
      </c>
      <c r="K130" s="448" t="s">
        <v>55</v>
      </c>
      <c r="L130" s="448">
        <v>11</v>
      </c>
      <c r="M130" s="448">
        <v>7</v>
      </c>
    </row>
    <row r="131" spans="1:13" ht="41.25" customHeight="1" thickTop="1" thickBot="1" x14ac:dyDescent="0.3">
      <c r="A131" s="449" t="s">
        <v>1822</v>
      </c>
      <c r="B131" s="449" t="s">
        <v>1724</v>
      </c>
      <c r="C131" s="449" t="s">
        <v>105</v>
      </c>
      <c r="D131" s="449">
        <v>3</v>
      </c>
      <c r="E131" s="449">
        <v>30</v>
      </c>
      <c r="F131" s="367">
        <v>3</v>
      </c>
      <c r="G131" s="449">
        <v>540</v>
      </c>
      <c r="H131" s="456">
        <v>200000000</v>
      </c>
      <c r="I131" s="450">
        <v>0</v>
      </c>
      <c r="J131" s="447" t="s">
        <v>2123</v>
      </c>
      <c r="K131" s="448" t="s">
        <v>44</v>
      </c>
      <c r="L131" s="448">
        <v>400</v>
      </c>
      <c r="M131" s="448">
        <v>0</v>
      </c>
    </row>
    <row r="132" spans="1:13" ht="16.5" thickTop="1" thickBot="1" x14ac:dyDescent="0.3"/>
    <row r="133" spans="1:13" ht="30" customHeight="1" thickTop="1" thickBot="1" x14ac:dyDescent="0.3">
      <c r="A133" s="639" t="s">
        <v>0</v>
      </c>
      <c r="B133" s="639" t="s">
        <v>1</v>
      </c>
      <c r="C133" s="639" t="s">
        <v>2569</v>
      </c>
      <c r="D133" s="636" t="s">
        <v>1961</v>
      </c>
      <c r="E133" s="637"/>
      <c r="F133" s="637"/>
      <c r="G133" s="638"/>
      <c r="H133" s="636" t="s">
        <v>3</v>
      </c>
      <c r="I133" s="637"/>
      <c r="J133" s="636" t="s">
        <v>1962</v>
      </c>
      <c r="K133" s="637"/>
      <c r="L133" s="637"/>
      <c r="M133" s="638"/>
    </row>
    <row r="134" spans="1:13" ht="34.5" customHeight="1" thickTop="1" thickBot="1" x14ac:dyDescent="0.3">
      <c r="A134" s="661"/>
      <c r="B134" s="661"/>
      <c r="C134" s="661"/>
      <c r="D134" s="445" t="s">
        <v>4</v>
      </c>
      <c r="E134" s="445" t="s">
        <v>5</v>
      </c>
      <c r="F134" s="445" t="s">
        <v>6</v>
      </c>
      <c r="G134" s="445" t="s">
        <v>7</v>
      </c>
      <c r="H134" s="445" t="s">
        <v>2</v>
      </c>
      <c r="I134" s="445" t="s">
        <v>3</v>
      </c>
      <c r="J134" s="445" t="s">
        <v>8</v>
      </c>
      <c r="K134" s="445" t="s">
        <v>9</v>
      </c>
      <c r="L134" s="445" t="s">
        <v>1963</v>
      </c>
      <c r="M134" s="445" t="s">
        <v>1964</v>
      </c>
    </row>
    <row r="135" spans="1:13" ht="51.75" customHeight="1" thickTop="1" thickBot="1" x14ac:dyDescent="0.3">
      <c r="A135" s="449" t="s">
        <v>1824</v>
      </c>
      <c r="B135" s="449" t="s">
        <v>1724</v>
      </c>
      <c r="C135" s="449" t="s">
        <v>18</v>
      </c>
      <c r="D135" s="448">
        <v>2</v>
      </c>
      <c r="E135" s="448">
        <v>30</v>
      </c>
      <c r="F135" s="448">
        <v>3</v>
      </c>
      <c r="G135" s="448">
        <v>848</v>
      </c>
      <c r="H135" s="456">
        <f>4447652010+767740594</f>
        <v>5215392604</v>
      </c>
      <c r="I135" s="450">
        <v>2449604430</v>
      </c>
      <c r="J135" s="447" t="s">
        <v>1825</v>
      </c>
      <c r="K135" s="448" t="s">
        <v>20</v>
      </c>
      <c r="L135" s="492">
        <v>2500</v>
      </c>
      <c r="M135" s="446">
        <v>1200</v>
      </c>
    </row>
    <row r="136" spans="1:13" ht="29.25" customHeight="1" thickTop="1" thickBot="1" x14ac:dyDescent="0.3">
      <c r="A136" s="449" t="s">
        <v>1824</v>
      </c>
      <c r="B136" s="449" t="s">
        <v>1724</v>
      </c>
      <c r="C136" s="654" t="s">
        <v>53</v>
      </c>
      <c r="D136" s="448">
        <v>2</v>
      </c>
      <c r="E136" s="448">
        <v>30</v>
      </c>
      <c r="F136" s="448">
        <v>3</v>
      </c>
      <c r="G136" s="448">
        <v>520</v>
      </c>
      <c r="H136" s="456">
        <v>4162753351</v>
      </c>
      <c r="I136" s="450">
        <v>270000000</v>
      </c>
      <c r="J136" s="447" t="s">
        <v>1826</v>
      </c>
      <c r="K136" s="448" t="s">
        <v>354</v>
      </c>
      <c r="L136" s="492">
        <v>91</v>
      </c>
      <c r="M136" s="446">
        <v>5.5</v>
      </c>
    </row>
    <row r="137" spans="1:13" ht="29.25" customHeight="1" thickTop="1" thickBot="1" x14ac:dyDescent="0.3">
      <c r="A137" s="449" t="s">
        <v>1824</v>
      </c>
      <c r="B137" s="449" t="s">
        <v>1724</v>
      </c>
      <c r="C137" s="654"/>
      <c r="D137" s="448">
        <v>2</v>
      </c>
      <c r="E137" s="448">
        <v>30</v>
      </c>
      <c r="F137" s="448">
        <v>3</v>
      </c>
      <c r="G137" s="448">
        <v>520</v>
      </c>
      <c r="H137" s="456">
        <v>250000000</v>
      </c>
      <c r="I137" s="450">
        <v>0</v>
      </c>
      <c r="J137" s="447" t="s">
        <v>1827</v>
      </c>
      <c r="K137" s="448" t="s">
        <v>25</v>
      </c>
      <c r="L137" s="492">
        <v>7</v>
      </c>
      <c r="M137" s="446">
        <v>0</v>
      </c>
    </row>
    <row r="138" spans="1:13" ht="29.25" customHeight="1" thickTop="1" thickBot="1" x14ac:dyDescent="0.3">
      <c r="A138" s="449" t="s">
        <v>1824</v>
      </c>
      <c r="B138" s="449" t="s">
        <v>1724</v>
      </c>
      <c r="C138" s="654" t="s">
        <v>90</v>
      </c>
      <c r="D138" s="448">
        <v>2</v>
      </c>
      <c r="E138" s="448">
        <v>30</v>
      </c>
      <c r="F138" s="448">
        <v>3</v>
      </c>
      <c r="G138" s="448">
        <v>520</v>
      </c>
      <c r="H138" s="456">
        <f>1264013184+1500000000</f>
        <v>2764013184</v>
      </c>
      <c r="I138" s="450">
        <v>0</v>
      </c>
      <c r="J138" s="447" t="s">
        <v>1828</v>
      </c>
      <c r="K138" s="485" t="s">
        <v>13</v>
      </c>
      <c r="L138" s="492">
        <v>50</v>
      </c>
      <c r="M138" s="446">
        <v>0</v>
      </c>
    </row>
    <row r="139" spans="1:13" ht="29.25" customHeight="1" thickTop="1" thickBot="1" x14ac:dyDescent="0.3">
      <c r="A139" s="449" t="s">
        <v>1824</v>
      </c>
      <c r="B139" s="449" t="s">
        <v>1724</v>
      </c>
      <c r="C139" s="654"/>
      <c r="D139" s="448">
        <v>2</v>
      </c>
      <c r="E139" s="448">
        <v>30</v>
      </c>
      <c r="F139" s="448">
        <v>3</v>
      </c>
      <c r="G139" s="448">
        <v>520</v>
      </c>
      <c r="H139" s="456">
        <f>1701088156+291394719</f>
        <v>1992482875</v>
      </c>
      <c r="I139" s="450">
        <v>0</v>
      </c>
      <c r="J139" s="447" t="s">
        <v>1829</v>
      </c>
      <c r="K139" s="448" t="s">
        <v>13</v>
      </c>
      <c r="L139" s="492">
        <v>1</v>
      </c>
      <c r="M139" s="446">
        <v>0</v>
      </c>
    </row>
    <row r="140" spans="1:13" ht="37.5" customHeight="1" thickTop="1" thickBot="1" x14ac:dyDescent="0.3">
      <c r="A140" s="449" t="s">
        <v>1824</v>
      </c>
      <c r="B140" s="449" t="s">
        <v>1724</v>
      </c>
      <c r="C140" s="654" t="s">
        <v>2127</v>
      </c>
      <c r="D140" s="448">
        <v>2</v>
      </c>
      <c r="E140" s="448">
        <v>30</v>
      </c>
      <c r="F140" s="448">
        <v>3</v>
      </c>
      <c r="G140" s="448">
        <v>540</v>
      </c>
      <c r="H140" s="456">
        <v>1700000000</v>
      </c>
      <c r="I140" s="450">
        <v>0</v>
      </c>
      <c r="J140" s="447" t="s">
        <v>2129</v>
      </c>
      <c r="K140" s="485" t="s">
        <v>2130</v>
      </c>
      <c r="L140" s="492">
        <v>5000</v>
      </c>
      <c r="M140" s="446">
        <v>0</v>
      </c>
    </row>
    <row r="141" spans="1:13" ht="37.5" customHeight="1" thickTop="1" thickBot="1" x14ac:dyDescent="0.3">
      <c r="A141" s="449" t="s">
        <v>1824</v>
      </c>
      <c r="B141" s="449" t="s">
        <v>1724</v>
      </c>
      <c r="C141" s="654"/>
      <c r="D141" s="448">
        <v>2</v>
      </c>
      <c r="E141" s="448">
        <v>30</v>
      </c>
      <c r="F141" s="448">
        <v>3</v>
      </c>
      <c r="G141" s="448">
        <v>540</v>
      </c>
      <c r="H141" s="456">
        <v>1300000000</v>
      </c>
      <c r="I141" s="450">
        <v>0</v>
      </c>
      <c r="J141" s="447" t="s">
        <v>2128</v>
      </c>
      <c r="K141" s="485" t="s">
        <v>2130</v>
      </c>
      <c r="L141" s="492">
        <v>5000</v>
      </c>
      <c r="M141" s="446">
        <v>0</v>
      </c>
    </row>
    <row r="142" spans="1:13" ht="16.5" thickTop="1" thickBot="1" x14ac:dyDescent="0.3"/>
    <row r="143" spans="1:13" ht="30" customHeight="1" thickTop="1" thickBot="1" x14ac:dyDescent="0.3">
      <c r="A143" s="639" t="s">
        <v>0</v>
      </c>
      <c r="B143" s="639" t="s">
        <v>1</v>
      </c>
      <c r="C143" s="639" t="s">
        <v>2569</v>
      </c>
      <c r="D143" s="636" t="s">
        <v>1961</v>
      </c>
      <c r="E143" s="637"/>
      <c r="F143" s="637"/>
      <c r="G143" s="638"/>
      <c r="H143" s="636" t="s">
        <v>3</v>
      </c>
      <c r="I143" s="637"/>
      <c r="J143" s="636" t="s">
        <v>1962</v>
      </c>
      <c r="K143" s="637"/>
      <c r="L143" s="637"/>
      <c r="M143" s="638"/>
    </row>
    <row r="144" spans="1:13" ht="34.5" customHeight="1" thickTop="1" thickBot="1" x14ac:dyDescent="0.3">
      <c r="A144" s="661"/>
      <c r="B144" s="661"/>
      <c r="C144" s="661"/>
      <c r="D144" s="445" t="s">
        <v>4</v>
      </c>
      <c r="E144" s="445" t="s">
        <v>5</v>
      </c>
      <c r="F144" s="445" t="s">
        <v>6</v>
      </c>
      <c r="G144" s="445" t="s">
        <v>7</v>
      </c>
      <c r="H144" s="445" t="s">
        <v>2</v>
      </c>
      <c r="I144" s="445" t="s">
        <v>3</v>
      </c>
      <c r="J144" s="445" t="s">
        <v>8</v>
      </c>
      <c r="K144" s="445" t="s">
        <v>9</v>
      </c>
      <c r="L144" s="445" t="s">
        <v>1963</v>
      </c>
      <c r="M144" s="445" t="s">
        <v>1964</v>
      </c>
    </row>
    <row r="145" spans="1:13" ht="63.75" customHeight="1" thickTop="1" thickBot="1" x14ac:dyDescent="0.3">
      <c r="A145" s="449" t="s">
        <v>1830</v>
      </c>
      <c r="B145" s="449" t="s">
        <v>1724</v>
      </c>
      <c r="C145" s="449" t="s">
        <v>18</v>
      </c>
      <c r="D145" s="448">
        <v>3</v>
      </c>
      <c r="E145" s="448">
        <v>30</v>
      </c>
      <c r="F145" s="448">
        <v>3</v>
      </c>
      <c r="G145" s="448">
        <v>848</v>
      </c>
      <c r="H145" s="456">
        <v>837900000</v>
      </c>
      <c r="I145" s="450">
        <f>305613000+514188000</f>
        <v>819801000</v>
      </c>
      <c r="J145" s="447" t="s">
        <v>1831</v>
      </c>
      <c r="K145" s="448" t="s">
        <v>20</v>
      </c>
      <c r="L145" s="446">
        <v>792</v>
      </c>
      <c r="M145" s="446">
        <v>792</v>
      </c>
    </row>
    <row r="146" spans="1:13" ht="55.5" customHeight="1" thickTop="1" thickBot="1" x14ac:dyDescent="0.3">
      <c r="A146" s="449" t="s">
        <v>1830</v>
      </c>
      <c r="B146" s="449" t="s">
        <v>1724</v>
      </c>
      <c r="C146" s="654" t="s">
        <v>53</v>
      </c>
      <c r="D146" s="448">
        <v>3</v>
      </c>
      <c r="E146" s="448">
        <v>30</v>
      </c>
      <c r="F146" s="448">
        <v>3</v>
      </c>
      <c r="G146" s="448">
        <v>520</v>
      </c>
      <c r="H146" s="456">
        <f>7*140000000</f>
        <v>980000000</v>
      </c>
      <c r="I146" s="450">
        <f>728155459+60000000</f>
        <v>788155459</v>
      </c>
      <c r="J146" s="447" t="s">
        <v>1832</v>
      </c>
      <c r="K146" s="448" t="s">
        <v>55</v>
      </c>
      <c r="L146" s="446">
        <v>8</v>
      </c>
      <c r="M146" s="446">
        <v>7</v>
      </c>
    </row>
    <row r="147" spans="1:13" ht="38.25" customHeight="1" thickTop="1" thickBot="1" x14ac:dyDescent="0.3">
      <c r="A147" s="449" t="s">
        <v>1830</v>
      </c>
      <c r="B147" s="449" t="s">
        <v>1724</v>
      </c>
      <c r="C147" s="654"/>
      <c r="D147" s="448">
        <v>3</v>
      </c>
      <c r="E147" s="448">
        <v>30</v>
      </c>
      <c r="F147" s="448">
        <v>3</v>
      </c>
      <c r="G147" s="448">
        <v>520</v>
      </c>
      <c r="H147" s="456">
        <v>120000000</v>
      </c>
      <c r="I147" s="450">
        <v>97420497</v>
      </c>
      <c r="J147" s="447" t="s">
        <v>2131</v>
      </c>
      <c r="K147" s="448" t="s">
        <v>738</v>
      </c>
      <c r="L147" s="446">
        <v>1</v>
      </c>
      <c r="M147" s="446">
        <v>1</v>
      </c>
    </row>
    <row r="148" spans="1:13" ht="38.25" customHeight="1" thickTop="1" thickBot="1" x14ac:dyDescent="0.3">
      <c r="A148" s="449" t="s">
        <v>1830</v>
      </c>
      <c r="B148" s="449" t="s">
        <v>1724</v>
      </c>
      <c r="C148" s="654"/>
      <c r="D148" s="448">
        <v>3</v>
      </c>
      <c r="E148" s="448">
        <v>30</v>
      </c>
      <c r="F148" s="448">
        <v>3</v>
      </c>
      <c r="G148" s="448">
        <v>520</v>
      </c>
      <c r="H148" s="456">
        <f>120000000*2</f>
        <v>240000000</v>
      </c>
      <c r="I148" s="450">
        <v>158704012</v>
      </c>
      <c r="J148" s="447" t="s">
        <v>1833</v>
      </c>
      <c r="K148" s="448" t="s">
        <v>25</v>
      </c>
      <c r="L148" s="446">
        <v>2</v>
      </c>
      <c r="M148" s="446">
        <v>2</v>
      </c>
    </row>
    <row r="149" spans="1:13" ht="38.25" customHeight="1" thickTop="1" thickBot="1" x14ac:dyDescent="0.3">
      <c r="A149" s="449" t="s">
        <v>1830</v>
      </c>
      <c r="B149" s="449" t="s">
        <v>1724</v>
      </c>
      <c r="C149" s="654"/>
      <c r="D149" s="449">
        <v>3</v>
      </c>
      <c r="E149" s="449">
        <v>30</v>
      </c>
      <c r="F149" s="449">
        <v>3</v>
      </c>
      <c r="G149" s="449">
        <v>520</v>
      </c>
      <c r="H149" s="456">
        <v>525100000</v>
      </c>
      <c r="I149" s="450">
        <v>129862270</v>
      </c>
      <c r="J149" s="447" t="s">
        <v>2132</v>
      </c>
      <c r="K149" s="448" t="s">
        <v>55</v>
      </c>
      <c r="L149" s="446">
        <v>10</v>
      </c>
      <c r="M149" s="446">
        <v>2</v>
      </c>
    </row>
    <row r="150" spans="1:13" ht="38.25" customHeight="1" thickTop="1" thickBot="1" x14ac:dyDescent="0.3">
      <c r="A150" s="449" t="s">
        <v>1830</v>
      </c>
      <c r="B150" s="449" t="s">
        <v>1724</v>
      </c>
      <c r="C150" s="654"/>
      <c r="D150" s="449">
        <v>3</v>
      </c>
      <c r="E150" s="449">
        <v>30</v>
      </c>
      <c r="F150" s="449">
        <v>3</v>
      </c>
      <c r="G150" s="449">
        <v>520</v>
      </c>
      <c r="H150" s="456">
        <v>90000000</v>
      </c>
      <c r="I150" s="450">
        <v>73857931</v>
      </c>
      <c r="J150" s="447" t="s">
        <v>2133</v>
      </c>
      <c r="K150" s="448" t="s">
        <v>25</v>
      </c>
      <c r="L150" s="446">
        <v>3</v>
      </c>
      <c r="M150" s="446">
        <v>3</v>
      </c>
    </row>
    <row r="151" spans="1:13" ht="16.5" thickTop="1" thickBot="1" x14ac:dyDescent="0.3"/>
    <row r="152" spans="1:13" ht="30.75" customHeight="1" thickTop="1" thickBot="1" x14ac:dyDescent="0.3">
      <c r="A152" s="639" t="s">
        <v>0</v>
      </c>
      <c r="B152" s="639" t="s">
        <v>1</v>
      </c>
      <c r="C152" s="639" t="s">
        <v>2569</v>
      </c>
      <c r="D152" s="636" t="s">
        <v>1961</v>
      </c>
      <c r="E152" s="637"/>
      <c r="F152" s="637"/>
      <c r="G152" s="638"/>
      <c r="H152" s="636" t="s">
        <v>3</v>
      </c>
      <c r="I152" s="637"/>
      <c r="J152" s="636" t="s">
        <v>1962</v>
      </c>
      <c r="K152" s="637"/>
      <c r="L152" s="637"/>
      <c r="M152" s="638"/>
    </row>
    <row r="153" spans="1:13" ht="34.5" customHeight="1" thickTop="1" thickBot="1" x14ac:dyDescent="0.3">
      <c r="A153" s="661"/>
      <c r="B153" s="661"/>
      <c r="C153" s="661"/>
      <c r="D153" s="445" t="s">
        <v>4</v>
      </c>
      <c r="E153" s="445" t="s">
        <v>5</v>
      </c>
      <c r="F153" s="445" t="s">
        <v>6</v>
      </c>
      <c r="G153" s="445" t="s">
        <v>7</v>
      </c>
      <c r="H153" s="445" t="s">
        <v>2</v>
      </c>
      <c r="I153" s="445" t="s">
        <v>3</v>
      </c>
      <c r="J153" s="445" t="s">
        <v>8</v>
      </c>
      <c r="K153" s="445" t="s">
        <v>9</v>
      </c>
      <c r="L153" s="445" t="s">
        <v>1963</v>
      </c>
      <c r="M153" s="445" t="s">
        <v>1964</v>
      </c>
    </row>
    <row r="154" spans="1:13" ht="41.25" customHeight="1" thickTop="1" thickBot="1" x14ac:dyDescent="0.3">
      <c r="A154" s="449" t="s">
        <v>1834</v>
      </c>
      <c r="B154" s="449" t="s">
        <v>1724</v>
      </c>
      <c r="C154" s="449" t="s">
        <v>18</v>
      </c>
      <c r="D154" s="449">
        <v>3</v>
      </c>
      <c r="E154" s="449">
        <v>30</v>
      </c>
      <c r="F154" s="449">
        <v>3</v>
      </c>
      <c r="G154" s="449">
        <v>848</v>
      </c>
      <c r="H154" s="456">
        <v>336000000</v>
      </c>
      <c r="I154" s="450">
        <v>0</v>
      </c>
      <c r="J154" s="447" t="s">
        <v>1835</v>
      </c>
      <c r="K154" s="448" t="s">
        <v>20</v>
      </c>
      <c r="L154" s="297">
        <v>895</v>
      </c>
      <c r="M154" s="297">
        <v>0</v>
      </c>
    </row>
    <row r="155" spans="1:13" ht="41.25" customHeight="1" thickTop="1" thickBot="1" x14ac:dyDescent="0.3">
      <c r="A155" s="449" t="s">
        <v>1834</v>
      </c>
      <c r="B155" s="449" t="s">
        <v>1724</v>
      </c>
      <c r="C155" s="654" t="s">
        <v>53</v>
      </c>
      <c r="D155" s="449">
        <v>3</v>
      </c>
      <c r="E155" s="449">
        <v>30</v>
      </c>
      <c r="F155" s="449">
        <v>3</v>
      </c>
      <c r="G155" s="449">
        <v>520</v>
      </c>
      <c r="H155" s="456">
        <v>278552866</v>
      </c>
      <c r="I155" s="450">
        <f>30306594+27362250+4886782+25090824+76641233+110958145</f>
        <v>275245828</v>
      </c>
      <c r="J155" s="447" t="s">
        <v>2134</v>
      </c>
      <c r="K155" s="448" t="s">
        <v>55</v>
      </c>
      <c r="L155" s="297">
        <v>10</v>
      </c>
      <c r="M155" s="297">
        <v>9</v>
      </c>
    </row>
    <row r="156" spans="1:13" ht="75" customHeight="1" thickTop="1" thickBot="1" x14ac:dyDescent="0.3">
      <c r="A156" s="449" t="s">
        <v>1834</v>
      </c>
      <c r="B156" s="449" t="s">
        <v>1724</v>
      </c>
      <c r="C156" s="654"/>
      <c r="D156" s="449">
        <v>3</v>
      </c>
      <c r="E156" s="449">
        <v>30</v>
      </c>
      <c r="F156" s="449">
        <v>3</v>
      </c>
      <c r="G156" s="449">
        <v>520</v>
      </c>
      <c r="H156" s="456">
        <v>56165428</v>
      </c>
      <c r="I156" s="450">
        <v>56165428</v>
      </c>
      <c r="J156" s="447" t="s">
        <v>1836</v>
      </c>
      <c r="K156" s="448" t="s">
        <v>13</v>
      </c>
      <c r="L156" s="297">
        <v>2</v>
      </c>
      <c r="M156" s="297">
        <v>2</v>
      </c>
    </row>
    <row r="157" spans="1:13" ht="40.5" customHeight="1" thickTop="1" thickBot="1" x14ac:dyDescent="0.3">
      <c r="A157" s="449" t="s">
        <v>1834</v>
      </c>
      <c r="B157" s="449" t="s">
        <v>1724</v>
      </c>
      <c r="C157" s="654"/>
      <c r="D157" s="449">
        <v>3</v>
      </c>
      <c r="E157" s="449">
        <v>30</v>
      </c>
      <c r="F157" s="449">
        <v>3</v>
      </c>
      <c r="G157" s="449">
        <v>520</v>
      </c>
      <c r="H157" s="456">
        <v>80710127</v>
      </c>
      <c r="I157" s="450">
        <v>80710127</v>
      </c>
      <c r="J157" s="447" t="s">
        <v>2135</v>
      </c>
      <c r="K157" s="448" t="s">
        <v>25</v>
      </c>
      <c r="L157" s="297">
        <v>1</v>
      </c>
      <c r="M157" s="297">
        <v>1</v>
      </c>
    </row>
    <row r="158" spans="1:13" ht="40.5" customHeight="1" thickTop="1" thickBot="1" x14ac:dyDescent="0.3">
      <c r="A158" s="449" t="s">
        <v>1834</v>
      </c>
      <c r="B158" s="449" t="s">
        <v>1724</v>
      </c>
      <c r="C158" s="654"/>
      <c r="D158" s="449">
        <v>3</v>
      </c>
      <c r="E158" s="449">
        <v>30</v>
      </c>
      <c r="F158" s="449">
        <v>3</v>
      </c>
      <c r="G158" s="449">
        <v>520</v>
      </c>
      <c r="H158" s="456">
        <v>99071579</v>
      </c>
      <c r="I158" s="450">
        <f>94118000+4956583</f>
        <v>99074583</v>
      </c>
      <c r="J158" s="447" t="s">
        <v>2136</v>
      </c>
      <c r="K158" s="448" t="s">
        <v>28</v>
      </c>
      <c r="L158" s="297">
        <v>1</v>
      </c>
      <c r="M158" s="297">
        <v>1</v>
      </c>
    </row>
    <row r="159" spans="1:13" ht="31.5" customHeight="1" thickTop="1" thickBot="1" x14ac:dyDescent="0.3">
      <c r="A159" s="449" t="s">
        <v>1834</v>
      </c>
      <c r="B159" s="449" t="s">
        <v>1724</v>
      </c>
      <c r="C159" s="654" t="s">
        <v>105</v>
      </c>
      <c r="D159" s="449">
        <v>3</v>
      </c>
      <c r="E159" s="449">
        <v>30</v>
      </c>
      <c r="F159" s="449">
        <v>3</v>
      </c>
      <c r="G159" s="449">
        <v>530</v>
      </c>
      <c r="H159" s="456">
        <v>114500000</v>
      </c>
      <c r="I159" s="450">
        <v>0</v>
      </c>
      <c r="J159" s="447" t="s">
        <v>1837</v>
      </c>
      <c r="K159" s="448" t="s">
        <v>180</v>
      </c>
      <c r="L159" s="297">
        <v>10</v>
      </c>
      <c r="M159" s="297">
        <v>0</v>
      </c>
    </row>
    <row r="160" spans="1:13" ht="39" customHeight="1" thickTop="1" thickBot="1" x14ac:dyDescent="0.3">
      <c r="A160" s="449" t="s">
        <v>1834</v>
      </c>
      <c r="B160" s="449" t="s">
        <v>1724</v>
      </c>
      <c r="C160" s="654"/>
      <c r="D160" s="449">
        <v>3</v>
      </c>
      <c r="E160" s="449">
        <v>30</v>
      </c>
      <c r="F160" s="449">
        <v>3</v>
      </c>
      <c r="G160" s="449">
        <v>540</v>
      </c>
      <c r="H160" s="456">
        <v>40000000</v>
      </c>
      <c r="I160" s="450">
        <f>26750000+4875000</f>
        <v>31625000</v>
      </c>
      <c r="J160" s="447" t="s">
        <v>1838</v>
      </c>
      <c r="K160" s="448" t="s">
        <v>261</v>
      </c>
      <c r="L160" s="297">
        <v>200</v>
      </c>
      <c r="M160" s="297">
        <v>160</v>
      </c>
    </row>
    <row r="161" spans="1:13" ht="31.5" thickTop="1" thickBot="1" x14ac:dyDescent="0.3">
      <c r="A161" s="449" t="s">
        <v>1834</v>
      </c>
      <c r="B161" s="449" t="s">
        <v>1724</v>
      </c>
      <c r="C161" s="654"/>
      <c r="D161" s="449">
        <v>3</v>
      </c>
      <c r="E161" s="449">
        <v>30</v>
      </c>
      <c r="F161" s="449">
        <v>3</v>
      </c>
      <c r="G161" s="449">
        <v>540</v>
      </c>
      <c r="H161" s="456">
        <v>20500000</v>
      </c>
      <c r="I161" s="450">
        <f>4800000+4650000</f>
        <v>9450000</v>
      </c>
      <c r="J161" s="447" t="s">
        <v>1839</v>
      </c>
      <c r="K161" s="448" t="s">
        <v>2137</v>
      </c>
      <c r="L161" s="297">
        <v>50</v>
      </c>
      <c r="M161" s="297">
        <v>22</v>
      </c>
    </row>
    <row r="162" spans="1:13" ht="39.75" customHeight="1" thickTop="1" thickBot="1" x14ac:dyDescent="0.3">
      <c r="A162" s="449" t="s">
        <v>1834</v>
      </c>
      <c r="B162" s="449" t="s">
        <v>1724</v>
      </c>
      <c r="C162" s="654"/>
      <c r="D162" s="449">
        <v>3</v>
      </c>
      <c r="E162" s="449">
        <v>30</v>
      </c>
      <c r="F162" s="449">
        <v>3</v>
      </c>
      <c r="G162" s="449">
        <v>540</v>
      </c>
      <c r="H162" s="456">
        <v>14500000</v>
      </c>
      <c r="I162" s="450">
        <v>10000000</v>
      </c>
      <c r="J162" s="447" t="s">
        <v>1840</v>
      </c>
      <c r="K162" s="448" t="s">
        <v>702</v>
      </c>
      <c r="L162" s="297">
        <v>10</v>
      </c>
      <c r="M162" s="297">
        <v>7</v>
      </c>
    </row>
    <row r="163" spans="1:13" ht="39.75" customHeight="1" thickTop="1" thickBot="1" x14ac:dyDescent="0.3">
      <c r="A163" s="449" t="s">
        <v>1834</v>
      </c>
      <c r="B163" s="449" t="s">
        <v>1724</v>
      </c>
      <c r="C163" s="654"/>
      <c r="D163" s="449">
        <v>3</v>
      </c>
      <c r="E163" s="449">
        <v>30</v>
      </c>
      <c r="F163" s="449">
        <v>3</v>
      </c>
      <c r="G163" s="449">
        <v>540</v>
      </c>
      <c r="H163" s="456">
        <v>80000000</v>
      </c>
      <c r="I163" s="450">
        <v>71700000</v>
      </c>
      <c r="J163" s="447" t="s">
        <v>1841</v>
      </c>
      <c r="K163" s="459" t="s">
        <v>383</v>
      </c>
      <c r="L163" s="297">
        <v>15</v>
      </c>
      <c r="M163" s="297">
        <v>15</v>
      </c>
    </row>
    <row r="164" spans="1:13" ht="16.5" thickTop="1" thickBot="1" x14ac:dyDescent="0.3"/>
    <row r="165" spans="1:13" ht="30" customHeight="1" thickTop="1" thickBot="1" x14ac:dyDescent="0.3">
      <c r="A165" s="639" t="s">
        <v>0</v>
      </c>
      <c r="B165" s="639" t="s">
        <v>1</v>
      </c>
      <c r="C165" s="639" t="s">
        <v>2569</v>
      </c>
      <c r="D165" s="636" t="s">
        <v>1961</v>
      </c>
      <c r="E165" s="637"/>
      <c r="F165" s="637"/>
      <c r="G165" s="638"/>
      <c r="H165" s="636" t="s">
        <v>3</v>
      </c>
      <c r="I165" s="637"/>
      <c r="J165" s="636" t="s">
        <v>1962</v>
      </c>
      <c r="K165" s="637"/>
      <c r="L165" s="637"/>
      <c r="M165" s="638"/>
    </row>
    <row r="166" spans="1:13" ht="34.5" customHeight="1" thickTop="1" thickBot="1" x14ac:dyDescent="0.3">
      <c r="A166" s="661"/>
      <c r="B166" s="661"/>
      <c r="C166" s="661"/>
      <c r="D166" s="445" t="s">
        <v>4</v>
      </c>
      <c r="E166" s="445" t="s">
        <v>5</v>
      </c>
      <c r="F166" s="445" t="s">
        <v>6</v>
      </c>
      <c r="G166" s="445" t="s">
        <v>7</v>
      </c>
      <c r="H166" s="445" t="s">
        <v>2</v>
      </c>
      <c r="I166" s="445" t="s">
        <v>3</v>
      </c>
      <c r="J166" s="445" t="s">
        <v>8</v>
      </c>
      <c r="K166" s="445" t="s">
        <v>9</v>
      </c>
      <c r="L166" s="445" t="s">
        <v>1963</v>
      </c>
      <c r="M166" s="445" t="s">
        <v>1964</v>
      </c>
    </row>
    <row r="167" spans="1:13" ht="53.25" customHeight="1" thickTop="1" thickBot="1" x14ac:dyDescent="0.3">
      <c r="A167" s="449" t="s">
        <v>2549</v>
      </c>
      <c r="B167" s="449" t="s">
        <v>1724</v>
      </c>
      <c r="C167" s="449" t="s">
        <v>18</v>
      </c>
      <c r="D167" s="449">
        <v>3</v>
      </c>
      <c r="E167" s="449">
        <v>30</v>
      </c>
      <c r="F167" s="449">
        <v>3</v>
      </c>
      <c r="G167" s="449">
        <v>848</v>
      </c>
      <c r="H167" s="456">
        <v>638620524</v>
      </c>
      <c r="I167" s="450">
        <f>411203750+16348750</f>
        <v>427552500</v>
      </c>
      <c r="J167" s="447" t="s">
        <v>1842</v>
      </c>
      <c r="K167" s="448" t="s">
        <v>20</v>
      </c>
      <c r="L167" s="297">
        <v>319</v>
      </c>
      <c r="M167" s="297">
        <v>319</v>
      </c>
    </row>
    <row r="168" spans="1:13" ht="30.75" customHeight="1" thickTop="1" thickBot="1" x14ac:dyDescent="0.3">
      <c r="A168" s="625" t="s">
        <v>2549</v>
      </c>
      <c r="B168" s="449" t="s">
        <v>1724</v>
      </c>
      <c r="C168" s="654" t="s">
        <v>53</v>
      </c>
      <c r="D168" s="449">
        <v>3</v>
      </c>
      <c r="E168" s="449">
        <v>30</v>
      </c>
      <c r="F168" s="449">
        <v>3</v>
      </c>
      <c r="G168" s="449">
        <v>520</v>
      </c>
      <c r="H168" s="456">
        <v>600000000</v>
      </c>
      <c r="I168" s="450">
        <f>95080946+91992750+97500000+97500000</f>
        <v>382073696</v>
      </c>
      <c r="J168" s="447" t="s">
        <v>1843</v>
      </c>
      <c r="K168" s="448" t="s">
        <v>55</v>
      </c>
      <c r="L168" s="297">
        <v>6</v>
      </c>
      <c r="M168" s="297">
        <v>4</v>
      </c>
    </row>
    <row r="169" spans="1:13" ht="39.75" customHeight="1" thickTop="1" thickBot="1" x14ac:dyDescent="0.3">
      <c r="A169" s="625" t="s">
        <v>2549</v>
      </c>
      <c r="B169" s="449" t="s">
        <v>1724</v>
      </c>
      <c r="C169" s="654"/>
      <c r="D169" s="449">
        <v>3</v>
      </c>
      <c r="E169" s="449">
        <v>30</v>
      </c>
      <c r="F169" s="449">
        <v>3</v>
      </c>
      <c r="G169" s="449">
        <v>520</v>
      </c>
      <c r="H169" s="456">
        <v>45000000</v>
      </c>
      <c r="I169" s="450">
        <f>3495000+11248000</f>
        <v>14743000</v>
      </c>
      <c r="J169" s="447" t="s">
        <v>1844</v>
      </c>
      <c r="K169" s="448" t="s">
        <v>25</v>
      </c>
      <c r="L169" s="297">
        <v>2</v>
      </c>
      <c r="M169" s="297">
        <v>2</v>
      </c>
    </row>
    <row r="170" spans="1:13" ht="39.75" customHeight="1" thickTop="1" thickBot="1" x14ac:dyDescent="0.3">
      <c r="A170" s="625" t="s">
        <v>2549</v>
      </c>
      <c r="B170" s="449" t="s">
        <v>1724</v>
      </c>
      <c r="C170" s="654"/>
      <c r="D170" s="449">
        <v>3</v>
      </c>
      <c r="E170" s="449">
        <v>30</v>
      </c>
      <c r="F170" s="449">
        <v>3</v>
      </c>
      <c r="G170" s="449">
        <v>520</v>
      </c>
      <c r="H170" s="456">
        <f>30000000+50000000+140000000+90000000+85000000+44776964+184820492</f>
        <v>624597456</v>
      </c>
      <c r="I170" s="450">
        <f>50729000-3495000+27074000+48449000+118805000+59500000</f>
        <v>301062000</v>
      </c>
      <c r="J170" s="447" t="s">
        <v>1845</v>
      </c>
      <c r="K170" s="448" t="s">
        <v>13</v>
      </c>
      <c r="L170" s="297">
        <v>9</v>
      </c>
      <c r="M170" s="297">
        <v>5</v>
      </c>
    </row>
    <row r="171" spans="1:13" ht="39.75" customHeight="1" thickTop="1" thickBot="1" x14ac:dyDescent="0.3">
      <c r="A171" s="625" t="s">
        <v>2549</v>
      </c>
      <c r="B171" s="449" t="s">
        <v>1724</v>
      </c>
      <c r="C171" s="654" t="s">
        <v>90</v>
      </c>
      <c r="D171" s="449">
        <v>3</v>
      </c>
      <c r="E171" s="449">
        <v>30</v>
      </c>
      <c r="F171" s="449">
        <v>3</v>
      </c>
      <c r="G171" s="449">
        <v>520</v>
      </c>
      <c r="H171" s="456">
        <v>140000000</v>
      </c>
      <c r="I171" s="450">
        <v>138500000</v>
      </c>
      <c r="J171" s="447" t="s">
        <v>1846</v>
      </c>
      <c r="K171" s="448" t="s">
        <v>11</v>
      </c>
      <c r="L171" s="297">
        <v>4360</v>
      </c>
      <c r="M171" s="297">
        <v>4120</v>
      </c>
    </row>
    <row r="172" spans="1:13" ht="33.75" customHeight="1" thickTop="1" thickBot="1" x14ac:dyDescent="0.3">
      <c r="A172" s="625" t="s">
        <v>2549</v>
      </c>
      <c r="B172" s="449" t="s">
        <v>1724</v>
      </c>
      <c r="C172" s="654"/>
      <c r="D172" s="449">
        <v>3</v>
      </c>
      <c r="E172" s="449">
        <v>30</v>
      </c>
      <c r="F172" s="449">
        <v>3</v>
      </c>
      <c r="G172" s="449">
        <v>520</v>
      </c>
      <c r="H172" s="456">
        <v>140000000</v>
      </c>
      <c r="I172" s="450">
        <v>139700000</v>
      </c>
      <c r="J172" s="447" t="s">
        <v>1847</v>
      </c>
      <c r="K172" s="448" t="s">
        <v>11</v>
      </c>
      <c r="L172" s="297">
        <v>600</v>
      </c>
      <c r="M172" s="297">
        <v>600</v>
      </c>
    </row>
    <row r="173" spans="1:13" ht="33.75" customHeight="1" thickTop="1" thickBot="1" x14ac:dyDescent="0.3">
      <c r="A173" s="625" t="s">
        <v>2549</v>
      </c>
      <c r="B173" s="449" t="s">
        <v>1724</v>
      </c>
      <c r="C173" s="654"/>
      <c r="D173" s="449">
        <v>3</v>
      </c>
      <c r="E173" s="449">
        <v>30</v>
      </c>
      <c r="F173" s="449">
        <v>3</v>
      </c>
      <c r="G173" s="449">
        <v>520</v>
      </c>
      <c r="H173" s="456">
        <v>118648752</v>
      </c>
      <c r="I173" s="450">
        <v>0</v>
      </c>
      <c r="J173" s="447" t="s">
        <v>1848</v>
      </c>
      <c r="K173" s="448" t="s">
        <v>11</v>
      </c>
      <c r="L173" s="297">
        <v>950</v>
      </c>
      <c r="M173" s="297">
        <v>0</v>
      </c>
    </row>
    <row r="174" spans="1:13" ht="16.5" thickTop="1" thickBot="1" x14ac:dyDescent="0.3"/>
    <row r="175" spans="1:13" ht="30" customHeight="1" thickTop="1" thickBot="1" x14ac:dyDescent="0.3">
      <c r="A175" s="639" t="s">
        <v>0</v>
      </c>
      <c r="B175" s="639" t="s">
        <v>1</v>
      </c>
      <c r="C175" s="639" t="s">
        <v>2569</v>
      </c>
      <c r="D175" s="636" t="s">
        <v>1961</v>
      </c>
      <c r="E175" s="637"/>
      <c r="F175" s="637"/>
      <c r="G175" s="638"/>
      <c r="H175" s="636" t="s">
        <v>3</v>
      </c>
      <c r="I175" s="637"/>
      <c r="J175" s="636" t="s">
        <v>1962</v>
      </c>
      <c r="K175" s="637"/>
      <c r="L175" s="637"/>
      <c r="M175" s="638"/>
    </row>
    <row r="176" spans="1:13" ht="34.5" customHeight="1" thickTop="1" thickBot="1" x14ac:dyDescent="0.3">
      <c r="A176" s="661"/>
      <c r="B176" s="661"/>
      <c r="C176" s="661"/>
      <c r="D176" s="445" t="s">
        <v>4</v>
      </c>
      <c r="E176" s="445" t="s">
        <v>5</v>
      </c>
      <c r="F176" s="445" t="s">
        <v>6</v>
      </c>
      <c r="G176" s="445" t="s">
        <v>7</v>
      </c>
      <c r="H176" s="445" t="s">
        <v>2</v>
      </c>
      <c r="I176" s="445" t="s">
        <v>3</v>
      </c>
      <c r="J176" s="445" t="s">
        <v>8</v>
      </c>
      <c r="K176" s="445" t="s">
        <v>9</v>
      </c>
      <c r="L176" s="445" t="s">
        <v>1963</v>
      </c>
      <c r="M176" s="445" t="s">
        <v>1964</v>
      </c>
    </row>
    <row r="177" spans="1:13" ht="48" customHeight="1" thickTop="1" thickBot="1" x14ac:dyDescent="0.3">
      <c r="A177" s="449" t="s">
        <v>1849</v>
      </c>
      <c r="B177" s="449" t="s">
        <v>1724</v>
      </c>
      <c r="C177" s="449" t="s">
        <v>18</v>
      </c>
      <c r="D177" s="449">
        <v>3</v>
      </c>
      <c r="E177" s="449">
        <v>30</v>
      </c>
      <c r="F177" s="449">
        <v>3</v>
      </c>
      <c r="G177" s="449">
        <v>848</v>
      </c>
      <c r="H177" s="456">
        <v>825826057</v>
      </c>
      <c r="I177" s="450">
        <v>0</v>
      </c>
      <c r="J177" s="447" t="s">
        <v>1850</v>
      </c>
      <c r="K177" s="448" t="s">
        <v>20</v>
      </c>
      <c r="L177" s="297">
        <v>1300</v>
      </c>
      <c r="M177" s="297">
        <v>0</v>
      </c>
    </row>
    <row r="178" spans="1:13" ht="39" customHeight="1" thickTop="1" thickBot="1" x14ac:dyDescent="0.3">
      <c r="A178" s="449" t="s">
        <v>1849</v>
      </c>
      <c r="B178" s="449" t="s">
        <v>1724</v>
      </c>
      <c r="C178" s="654" t="s">
        <v>53</v>
      </c>
      <c r="D178" s="449">
        <v>3</v>
      </c>
      <c r="E178" s="449">
        <v>30</v>
      </c>
      <c r="F178" s="449">
        <v>3</v>
      </c>
      <c r="G178" s="449">
        <v>520</v>
      </c>
      <c r="H178" s="456">
        <v>960000000</v>
      </c>
      <c r="I178" s="450">
        <v>0</v>
      </c>
      <c r="J178" s="447" t="s">
        <v>1851</v>
      </c>
      <c r="K178" s="448" t="s">
        <v>55</v>
      </c>
      <c r="L178" s="297">
        <v>7</v>
      </c>
      <c r="M178" s="297">
        <v>0</v>
      </c>
    </row>
    <row r="179" spans="1:13" ht="37.5" customHeight="1" thickTop="1" thickBot="1" x14ac:dyDescent="0.3">
      <c r="A179" s="449" t="s">
        <v>1849</v>
      </c>
      <c r="B179" s="449" t="s">
        <v>1724</v>
      </c>
      <c r="C179" s="654"/>
      <c r="D179" s="449">
        <v>3</v>
      </c>
      <c r="E179" s="449">
        <v>30</v>
      </c>
      <c r="F179" s="449">
        <v>3</v>
      </c>
      <c r="G179" s="449">
        <v>520</v>
      </c>
      <c r="H179" s="456">
        <v>150000000</v>
      </c>
      <c r="I179" s="450">
        <v>51500095</v>
      </c>
      <c r="J179" s="447" t="s">
        <v>1852</v>
      </c>
      <c r="K179" s="448" t="s">
        <v>25</v>
      </c>
      <c r="L179" s="297">
        <v>3</v>
      </c>
      <c r="M179" s="297">
        <v>1</v>
      </c>
    </row>
    <row r="180" spans="1:13" ht="30.75" customHeight="1" thickTop="1" thickBot="1" x14ac:dyDescent="0.3">
      <c r="A180" s="449" t="s">
        <v>1849</v>
      </c>
      <c r="B180" s="449" t="s">
        <v>1724</v>
      </c>
      <c r="C180" s="654"/>
      <c r="D180" s="449">
        <v>3</v>
      </c>
      <c r="E180" s="449">
        <v>30</v>
      </c>
      <c r="F180" s="449">
        <v>3</v>
      </c>
      <c r="G180" s="449">
        <v>520</v>
      </c>
      <c r="H180" s="456">
        <f>100000000+16500000+226927467</f>
        <v>343427467</v>
      </c>
      <c r="I180" s="450">
        <v>139828250</v>
      </c>
      <c r="J180" s="447" t="s">
        <v>1853</v>
      </c>
      <c r="K180" s="448" t="s">
        <v>13</v>
      </c>
      <c r="L180" s="297">
        <v>5</v>
      </c>
      <c r="M180" s="297">
        <v>2</v>
      </c>
    </row>
    <row r="181" spans="1:13" ht="35.25" thickTop="1" thickBot="1" x14ac:dyDescent="0.3">
      <c r="A181" s="449" t="s">
        <v>1849</v>
      </c>
      <c r="B181" s="449" t="s">
        <v>1724</v>
      </c>
      <c r="C181" s="654"/>
      <c r="D181" s="449">
        <v>3</v>
      </c>
      <c r="E181" s="449">
        <v>30</v>
      </c>
      <c r="F181" s="449">
        <v>3</v>
      </c>
      <c r="G181" s="449">
        <v>520</v>
      </c>
      <c r="H181" s="456">
        <v>150000000</v>
      </c>
      <c r="I181" s="450">
        <v>0</v>
      </c>
      <c r="J181" s="447" t="s">
        <v>1854</v>
      </c>
      <c r="K181" s="448" t="s">
        <v>103</v>
      </c>
      <c r="L181" s="297">
        <v>4</v>
      </c>
      <c r="M181" s="297">
        <v>0</v>
      </c>
    </row>
    <row r="182" spans="1:13" ht="39" customHeight="1" thickTop="1" thickBot="1" x14ac:dyDescent="0.3">
      <c r="A182" s="449" t="s">
        <v>1849</v>
      </c>
      <c r="B182" s="449" t="s">
        <v>1724</v>
      </c>
      <c r="C182" s="651" t="s">
        <v>53</v>
      </c>
      <c r="D182" s="449">
        <v>2</v>
      </c>
      <c r="E182" s="449">
        <v>30</v>
      </c>
      <c r="F182" s="449">
        <v>3</v>
      </c>
      <c r="G182" s="449">
        <v>580</v>
      </c>
      <c r="H182" s="456">
        <f>63000000+37000000</f>
        <v>100000000</v>
      </c>
      <c r="I182" s="450">
        <v>69991413</v>
      </c>
      <c r="J182" s="447" t="s">
        <v>1855</v>
      </c>
      <c r="K182" s="448" t="s">
        <v>85</v>
      </c>
      <c r="L182" s="297">
        <v>19</v>
      </c>
      <c r="M182" s="297">
        <v>14</v>
      </c>
    </row>
    <row r="183" spans="1:13" ht="39" customHeight="1" thickTop="1" thickBot="1" x14ac:dyDescent="0.3">
      <c r="A183" s="449" t="s">
        <v>1849</v>
      </c>
      <c r="B183" s="449" t="s">
        <v>1724</v>
      </c>
      <c r="C183" s="653"/>
      <c r="D183" s="449">
        <v>3</v>
      </c>
      <c r="E183" s="449">
        <v>30</v>
      </c>
      <c r="F183" s="449">
        <v>3</v>
      </c>
      <c r="G183" s="449">
        <v>980</v>
      </c>
      <c r="H183" s="456">
        <v>223500000</v>
      </c>
      <c r="I183" s="450">
        <v>223324123</v>
      </c>
      <c r="J183" s="447" t="s">
        <v>1856</v>
      </c>
      <c r="K183" s="448" t="s">
        <v>16</v>
      </c>
      <c r="L183" s="297">
        <v>14</v>
      </c>
      <c r="M183" s="297">
        <v>12</v>
      </c>
    </row>
    <row r="184" spans="1:13" ht="16.5" thickTop="1" thickBot="1" x14ac:dyDescent="0.3"/>
    <row r="185" spans="1:13" ht="30" customHeight="1" thickTop="1" thickBot="1" x14ac:dyDescent="0.3">
      <c r="A185" s="639" t="s">
        <v>0</v>
      </c>
      <c r="B185" s="639" t="s">
        <v>1</v>
      </c>
      <c r="C185" s="639" t="s">
        <v>2569</v>
      </c>
      <c r="D185" s="636" t="s">
        <v>1961</v>
      </c>
      <c r="E185" s="637"/>
      <c r="F185" s="637"/>
      <c r="G185" s="638"/>
      <c r="H185" s="636" t="s">
        <v>3</v>
      </c>
      <c r="I185" s="637"/>
      <c r="J185" s="636" t="s">
        <v>1962</v>
      </c>
      <c r="K185" s="637"/>
      <c r="L185" s="637"/>
      <c r="M185" s="638"/>
    </row>
    <row r="186" spans="1:13" ht="34.5" customHeight="1" thickTop="1" thickBot="1" x14ac:dyDescent="0.3">
      <c r="A186" s="661"/>
      <c r="B186" s="661"/>
      <c r="C186" s="661"/>
      <c r="D186" s="445" t="s">
        <v>4</v>
      </c>
      <c r="E186" s="445" t="s">
        <v>5</v>
      </c>
      <c r="F186" s="445" t="s">
        <v>6</v>
      </c>
      <c r="G186" s="445" t="s">
        <v>7</v>
      </c>
      <c r="H186" s="445" t="s">
        <v>2</v>
      </c>
      <c r="I186" s="445" t="s">
        <v>3</v>
      </c>
      <c r="J186" s="445" t="s">
        <v>8</v>
      </c>
      <c r="K186" s="445" t="s">
        <v>9</v>
      </c>
      <c r="L186" s="445" t="s">
        <v>1963</v>
      </c>
      <c r="M186" s="445" t="s">
        <v>1964</v>
      </c>
    </row>
    <row r="187" spans="1:13" ht="31.5" thickTop="1" thickBot="1" x14ac:dyDescent="0.3">
      <c r="A187" s="449" t="s">
        <v>2550</v>
      </c>
      <c r="B187" s="449" t="s">
        <v>1724</v>
      </c>
      <c r="C187" s="654" t="s">
        <v>18</v>
      </c>
      <c r="D187" s="654">
        <v>3</v>
      </c>
      <c r="E187" s="654">
        <v>30</v>
      </c>
      <c r="F187" s="654">
        <v>3</v>
      </c>
      <c r="G187" s="654">
        <v>848</v>
      </c>
      <c r="H187" s="673">
        <v>789412829</v>
      </c>
      <c r="I187" s="714">
        <v>338511600</v>
      </c>
      <c r="J187" s="693" t="s">
        <v>1857</v>
      </c>
      <c r="K187" s="448" t="s">
        <v>20</v>
      </c>
      <c r="L187" s="448">
        <v>909</v>
      </c>
      <c r="M187" s="448">
        <v>909</v>
      </c>
    </row>
    <row r="188" spans="1:13" ht="31.5" thickTop="1" thickBot="1" x14ac:dyDescent="0.3">
      <c r="A188" s="625" t="s">
        <v>2550</v>
      </c>
      <c r="B188" s="449" t="s">
        <v>1724</v>
      </c>
      <c r="C188" s="654"/>
      <c r="D188" s="654"/>
      <c r="E188" s="654"/>
      <c r="F188" s="654"/>
      <c r="G188" s="654"/>
      <c r="H188" s="674"/>
      <c r="I188" s="715"/>
      <c r="J188" s="693"/>
      <c r="K188" s="448" t="s">
        <v>75</v>
      </c>
      <c r="L188" s="448">
        <v>80552</v>
      </c>
      <c r="M188" s="448">
        <v>34542</v>
      </c>
    </row>
    <row r="189" spans="1:13" ht="30.75" customHeight="1" thickTop="1" thickBot="1" x14ac:dyDescent="0.3">
      <c r="A189" s="625" t="s">
        <v>2550</v>
      </c>
      <c r="B189" s="449" t="s">
        <v>1724</v>
      </c>
      <c r="C189" s="654" t="s">
        <v>53</v>
      </c>
      <c r="D189" s="449">
        <v>3</v>
      </c>
      <c r="E189" s="449">
        <v>30</v>
      </c>
      <c r="F189" s="449">
        <v>3</v>
      </c>
      <c r="G189" s="449">
        <v>520</v>
      </c>
      <c r="H189" s="456">
        <v>971963268</v>
      </c>
      <c r="I189" s="450">
        <f>540601501+170137543</f>
        <v>710739044</v>
      </c>
      <c r="J189" s="455" t="s">
        <v>1858</v>
      </c>
      <c r="K189" s="448" t="s">
        <v>55</v>
      </c>
      <c r="L189" s="448">
        <v>10</v>
      </c>
      <c r="M189" s="448">
        <v>7</v>
      </c>
    </row>
    <row r="190" spans="1:13" ht="30.75" customHeight="1" thickTop="1" thickBot="1" x14ac:dyDescent="0.3">
      <c r="A190" s="625" t="s">
        <v>2550</v>
      </c>
      <c r="B190" s="449" t="s">
        <v>1724</v>
      </c>
      <c r="C190" s="654"/>
      <c r="D190" s="449">
        <v>3</v>
      </c>
      <c r="E190" s="449">
        <v>30</v>
      </c>
      <c r="F190" s="449">
        <v>3</v>
      </c>
      <c r="G190" s="449">
        <v>520</v>
      </c>
      <c r="H190" s="456">
        <v>140000000</v>
      </c>
      <c r="I190" s="450">
        <v>136217944</v>
      </c>
      <c r="J190" s="455" t="s">
        <v>1859</v>
      </c>
      <c r="K190" s="448" t="s">
        <v>13</v>
      </c>
      <c r="L190" s="448">
        <v>1</v>
      </c>
      <c r="M190" s="448">
        <v>1</v>
      </c>
    </row>
    <row r="191" spans="1:13" ht="36" customHeight="1" thickTop="1" thickBot="1" x14ac:dyDescent="0.3">
      <c r="A191" s="625" t="s">
        <v>2550</v>
      </c>
      <c r="B191" s="449" t="s">
        <v>1724</v>
      </c>
      <c r="C191" s="654"/>
      <c r="D191" s="449">
        <v>3</v>
      </c>
      <c r="E191" s="449">
        <v>30</v>
      </c>
      <c r="F191" s="449">
        <v>3</v>
      </c>
      <c r="G191" s="449">
        <v>520</v>
      </c>
      <c r="H191" s="456">
        <v>150000000</v>
      </c>
      <c r="I191" s="450">
        <v>144122136</v>
      </c>
      <c r="J191" s="455" t="s">
        <v>1860</v>
      </c>
      <c r="K191" s="448" t="s">
        <v>55</v>
      </c>
      <c r="L191" s="448">
        <v>1</v>
      </c>
      <c r="M191" s="448">
        <v>1</v>
      </c>
    </row>
    <row r="192" spans="1:13" ht="30" customHeight="1" thickTop="1" thickBot="1" x14ac:dyDescent="0.3">
      <c r="A192" s="625" t="s">
        <v>2550</v>
      </c>
      <c r="B192" s="449" t="s">
        <v>1724</v>
      </c>
      <c r="C192" s="654"/>
      <c r="D192" s="449">
        <v>3</v>
      </c>
      <c r="E192" s="449">
        <v>30</v>
      </c>
      <c r="F192" s="449">
        <v>3</v>
      </c>
      <c r="G192" s="449">
        <v>520</v>
      </c>
      <c r="H192" s="456">
        <v>500000000</v>
      </c>
      <c r="I192" s="450">
        <f>463732000-202400498</f>
        <v>261331502</v>
      </c>
      <c r="J192" s="455" t="s">
        <v>1861</v>
      </c>
      <c r="K192" s="448" t="s">
        <v>80</v>
      </c>
      <c r="L192" s="448">
        <v>12000</v>
      </c>
      <c r="M192" s="448">
        <v>6374</v>
      </c>
    </row>
    <row r="193" spans="1:13" ht="37.5" customHeight="1" thickTop="1" thickBot="1" x14ac:dyDescent="0.3">
      <c r="A193" s="625" t="s">
        <v>2550</v>
      </c>
      <c r="B193" s="449" t="s">
        <v>1724</v>
      </c>
      <c r="C193" s="654"/>
      <c r="D193" s="449">
        <v>3</v>
      </c>
      <c r="E193" s="449">
        <v>30</v>
      </c>
      <c r="F193" s="449">
        <v>3</v>
      </c>
      <c r="G193" s="449">
        <v>520</v>
      </c>
      <c r="H193" s="456">
        <v>80000000</v>
      </c>
      <c r="I193" s="450">
        <v>0</v>
      </c>
      <c r="J193" s="455" t="s">
        <v>1862</v>
      </c>
      <c r="K193" s="448" t="s">
        <v>103</v>
      </c>
      <c r="L193" s="448">
        <v>2</v>
      </c>
      <c r="M193" s="448">
        <v>0</v>
      </c>
    </row>
    <row r="194" spans="1:13" ht="15.75" thickTop="1" x14ac:dyDescent="0.25"/>
  </sheetData>
  <mergeCells count="160">
    <mergeCell ref="C178:C181"/>
    <mergeCell ref="C136:C137"/>
    <mergeCell ref="C138:C139"/>
    <mergeCell ref="D73:D74"/>
    <mergeCell ref="E73:E74"/>
    <mergeCell ref="F73:F74"/>
    <mergeCell ref="G73:G74"/>
    <mergeCell ref="D105:G105"/>
    <mergeCell ref="H127:I127"/>
    <mergeCell ref="H143:I143"/>
    <mergeCell ref="C155:C158"/>
    <mergeCell ref="C159:C163"/>
    <mergeCell ref="C140:C141"/>
    <mergeCell ref="H133:I133"/>
    <mergeCell ref="C44:C45"/>
    <mergeCell ref="C62:C63"/>
    <mergeCell ref="C73:C75"/>
    <mergeCell ref="C96:C97"/>
    <mergeCell ref="C98:C100"/>
    <mergeCell ref="C108:C109"/>
    <mergeCell ref="C115:C116"/>
    <mergeCell ref="C118:C120"/>
    <mergeCell ref="C76:C78"/>
    <mergeCell ref="C79:C83"/>
    <mergeCell ref="C18:C19"/>
    <mergeCell ref="B15:B16"/>
    <mergeCell ref="C15:C16"/>
    <mergeCell ref="D15:G15"/>
    <mergeCell ref="C9:C12"/>
    <mergeCell ref="B5:B6"/>
    <mergeCell ref="C5:C6"/>
    <mergeCell ref="D5:G5"/>
    <mergeCell ref="C29:C30"/>
    <mergeCell ref="C25:C26"/>
    <mergeCell ref="C27:C28"/>
    <mergeCell ref="B32:B33"/>
    <mergeCell ref="C42:C43"/>
    <mergeCell ref="C32:C33"/>
    <mergeCell ref="D32:G32"/>
    <mergeCell ref="C36:C41"/>
    <mergeCell ref="C20:C21"/>
    <mergeCell ref="B23:B24"/>
    <mergeCell ref="C23:C24"/>
    <mergeCell ref="D23:G23"/>
    <mergeCell ref="C34:C35"/>
    <mergeCell ref="B60:B61"/>
    <mergeCell ref="C60:C61"/>
    <mergeCell ref="D60:G60"/>
    <mergeCell ref="C64:C67"/>
    <mergeCell ref="B71:B72"/>
    <mergeCell ref="C71:C72"/>
    <mergeCell ref="D71:G71"/>
    <mergeCell ref="B47:B48"/>
    <mergeCell ref="C47:C48"/>
    <mergeCell ref="D47:G47"/>
    <mergeCell ref="C52:C53"/>
    <mergeCell ref="C54:C55"/>
    <mergeCell ref="B105:B106"/>
    <mergeCell ref="C105:C106"/>
    <mergeCell ref="C88:C91"/>
    <mergeCell ref="B94:B95"/>
    <mergeCell ref="C94:C95"/>
    <mergeCell ref="D94:G94"/>
    <mergeCell ref="B85:B86"/>
    <mergeCell ref="C85:C86"/>
    <mergeCell ref="D85:G85"/>
    <mergeCell ref="B122:B123"/>
    <mergeCell ref="C122:C123"/>
    <mergeCell ref="D122:G122"/>
    <mergeCell ref="B113:B114"/>
    <mergeCell ref="C113:C114"/>
    <mergeCell ref="D113:G113"/>
    <mergeCell ref="J122:M122"/>
    <mergeCell ref="J113:M113"/>
    <mergeCell ref="H122:I122"/>
    <mergeCell ref="J133:M133"/>
    <mergeCell ref="B133:B134"/>
    <mergeCell ref="C133:C134"/>
    <mergeCell ref="D133:G133"/>
    <mergeCell ref="H152:I152"/>
    <mergeCell ref="J152:M152"/>
    <mergeCell ref="J127:M127"/>
    <mergeCell ref="B127:B128"/>
    <mergeCell ref="C127:C128"/>
    <mergeCell ref="D127:G127"/>
    <mergeCell ref="J165:M165"/>
    <mergeCell ref="C146:C150"/>
    <mergeCell ref="B152:B153"/>
    <mergeCell ref="C152:C153"/>
    <mergeCell ref="D152:G152"/>
    <mergeCell ref="J143:M143"/>
    <mergeCell ref="D143:G143"/>
    <mergeCell ref="H175:I175"/>
    <mergeCell ref="J175:M175"/>
    <mergeCell ref="C168:C170"/>
    <mergeCell ref="C171:C173"/>
    <mergeCell ref="B175:B176"/>
    <mergeCell ref="C175:C176"/>
    <mergeCell ref="H165:I165"/>
    <mergeCell ref="B165:B166"/>
    <mergeCell ref="C165:C166"/>
    <mergeCell ref="D165:G165"/>
    <mergeCell ref="D175:G175"/>
    <mergeCell ref="B143:B144"/>
    <mergeCell ref="C143:C144"/>
    <mergeCell ref="C189:C193"/>
    <mergeCell ref="C187:C188"/>
    <mergeCell ref="D187:D188"/>
    <mergeCell ref="E187:E188"/>
    <mergeCell ref="F187:F188"/>
    <mergeCell ref="G187:G188"/>
    <mergeCell ref="H185:I185"/>
    <mergeCell ref="J185:M185"/>
    <mergeCell ref="B185:B186"/>
    <mergeCell ref="C185:C186"/>
    <mergeCell ref="D185:G185"/>
    <mergeCell ref="J187:J188"/>
    <mergeCell ref="I187:I188"/>
    <mergeCell ref="C182:C183"/>
    <mergeCell ref="H187:H188"/>
    <mergeCell ref="A5:A6"/>
    <mergeCell ref="A15:A16"/>
    <mergeCell ref="A23:A24"/>
    <mergeCell ref="A32:A33"/>
    <mergeCell ref="A47:A48"/>
    <mergeCell ref="A60:A61"/>
    <mergeCell ref="A71:A72"/>
    <mergeCell ref="A85:A86"/>
    <mergeCell ref="A94:A95"/>
    <mergeCell ref="A105:A106"/>
    <mergeCell ref="A113:A114"/>
    <mergeCell ref="A122:A123"/>
    <mergeCell ref="A127:A128"/>
    <mergeCell ref="A133:A134"/>
    <mergeCell ref="A143:A144"/>
    <mergeCell ref="A152:A153"/>
    <mergeCell ref="A165:A166"/>
    <mergeCell ref="A175:A176"/>
    <mergeCell ref="A185:A186"/>
    <mergeCell ref="H5:I5"/>
    <mergeCell ref="H60:I60"/>
    <mergeCell ref="H113:I113"/>
    <mergeCell ref="J5:M5"/>
    <mergeCell ref="H15:I15"/>
    <mergeCell ref="J15:M15"/>
    <mergeCell ref="H23:I23"/>
    <mergeCell ref="J23:M23"/>
    <mergeCell ref="H32:I32"/>
    <mergeCell ref="J32:M32"/>
    <mergeCell ref="H47:I47"/>
    <mergeCell ref="J47:M47"/>
    <mergeCell ref="J60:M60"/>
    <mergeCell ref="H71:I71"/>
    <mergeCell ref="J71:M71"/>
    <mergeCell ref="H85:I85"/>
    <mergeCell ref="J85:M85"/>
    <mergeCell ref="H94:I94"/>
    <mergeCell ref="J94:M94"/>
    <mergeCell ref="H105:I105"/>
    <mergeCell ref="J105:M105"/>
  </mergeCells>
  <pageMargins left="0.7" right="0.7" top="0.75" bottom="0.75" header="0.3" footer="0.3"/>
  <pageSetup paperSize="9" orientation="portrait" verticalDpi="0" r:id="rId1"/>
  <ignoredErrors>
    <ignoredError sqref="F96:F103"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1"/>
  <sheetViews>
    <sheetView showGridLines="0" workbookViewId="0">
      <selection activeCell="C8" sqref="C8:C9"/>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2.42578125" style="510" customWidth="1"/>
    <col min="11" max="11" width="12.140625" customWidth="1"/>
    <col min="12" max="13" width="15.140625" customWidth="1"/>
  </cols>
  <sheetData>
    <row r="1" spans="1:13" s="54" customFormat="1" x14ac:dyDescent="0.25">
      <c r="A1"/>
      <c r="B1"/>
      <c r="C1"/>
      <c r="D1"/>
      <c r="E1"/>
      <c r="F1"/>
      <c r="G1"/>
      <c r="H1"/>
      <c r="I1"/>
      <c r="J1" s="510"/>
      <c r="K1"/>
      <c r="L1"/>
      <c r="M1"/>
    </row>
    <row r="2" spans="1:13" s="54" customFormat="1" x14ac:dyDescent="0.25">
      <c r="A2"/>
      <c r="B2"/>
      <c r="C2"/>
      <c r="D2"/>
      <c r="E2"/>
      <c r="F2"/>
      <c r="G2"/>
      <c r="H2"/>
      <c r="I2"/>
      <c r="J2" s="510"/>
      <c r="K2"/>
      <c r="L2"/>
      <c r="M2"/>
    </row>
    <row r="3" spans="1:13" s="54" customFormat="1" x14ac:dyDescent="0.25">
      <c r="A3"/>
      <c r="B3"/>
      <c r="C3"/>
      <c r="D3"/>
      <c r="E3"/>
      <c r="F3"/>
      <c r="G3"/>
      <c r="H3"/>
      <c r="I3"/>
      <c r="J3" s="510"/>
      <c r="K3"/>
      <c r="L3"/>
      <c r="M3"/>
    </row>
    <row r="4" spans="1:13" s="54" customFormat="1" ht="15.75" thickBot="1" x14ac:dyDescent="0.3">
      <c r="A4"/>
      <c r="B4"/>
      <c r="C4"/>
      <c r="D4"/>
      <c r="E4"/>
      <c r="F4"/>
      <c r="G4"/>
      <c r="H4"/>
      <c r="I4"/>
      <c r="J4" s="510"/>
      <c r="K4"/>
      <c r="L4"/>
      <c r="M4"/>
    </row>
    <row r="5" spans="1:13" s="152" customFormat="1" ht="30" customHeight="1" thickTop="1" thickBot="1" x14ac:dyDescent="0.3">
      <c r="A5" s="639" t="s">
        <v>0</v>
      </c>
      <c r="B5" s="639" t="s">
        <v>1</v>
      </c>
      <c r="C5" s="639" t="s">
        <v>2569</v>
      </c>
      <c r="D5" s="636" t="s">
        <v>1961</v>
      </c>
      <c r="E5" s="637"/>
      <c r="F5" s="637"/>
      <c r="G5" s="638"/>
      <c r="H5" s="636" t="s">
        <v>3</v>
      </c>
      <c r="I5" s="637"/>
      <c r="J5" s="636" t="s">
        <v>1962</v>
      </c>
      <c r="K5" s="637"/>
      <c r="L5" s="637"/>
      <c r="M5" s="637"/>
    </row>
    <row r="6" spans="1:13" s="152" customFormat="1" ht="34.5" customHeight="1" thickTop="1" thickBot="1" x14ac:dyDescent="0.3">
      <c r="A6" s="661"/>
      <c r="B6" s="661"/>
      <c r="C6" s="661"/>
      <c r="D6" s="493" t="s">
        <v>4</v>
      </c>
      <c r="E6" s="493" t="s">
        <v>5</v>
      </c>
      <c r="F6" s="493" t="s">
        <v>6</v>
      </c>
      <c r="G6" s="493" t="s">
        <v>7</v>
      </c>
      <c r="H6" s="493" t="s">
        <v>2</v>
      </c>
      <c r="I6" s="493" t="s">
        <v>3</v>
      </c>
      <c r="J6" s="493" t="s">
        <v>8</v>
      </c>
      <c r="K6" s="493" t="s">
        <v>9</v>
      </c>
      <c r="L6" s="493" t="s">
        <v>1963</v>
      </c>
      <c r="M6" s="513" t="s">
        <v>1964</v>
      </c>
    </row>
    <row r="7" spans="1:13" s="181" customFormat="1" ht="48" customHeight="1" thickTop="1" thickBot="1" x14ac:dyDescent="0.25">
      <c r="A7" s="494" t="s">
        <v>1316</v>
      </c>
      <c r="B7" s="494" t="s">
        <v>2551</v>
      </c>
      <c r="C7" s="494" t="s">
        <v>53</v>
      </c>
      <c r="D7" s="497">
        <v>2</v>
      </c>
      <c r="E7" s="496">
        <v>30</v>
      </c>
      <c r="F7" s="496">
        <v>3</v>
      </c>
      <c r="G7" s="497">
        <v>520</v>
      </c>
      <c r="H7" s="498">
        <v>786129981</v>
      </c>
      <c r="I7" s="495">
        <v>503108430</v>
      </c>
      <c r="J7" s="254" t="s">
        <v>1160</v>
      </c>
      <c r="K7" s="497" t="s">
        <v>55</v>
      </c>
      <c r="L7" s="496">
        <v>10</v>
      </c>
      <c r="M7" s="496">
        <v>6</v>
      </c>
    </row>
    <row r="8" spans="1:13" s="181" customFormat="1" ht="60.75" customHeight="1" thickTop="1" thickBot="1" x14ac:dyDescent="0.25">
      <c r="A8" s="494" t="s">
        <v>1316</v>
      </c>
      <c r="B8" s="625" t="s">
        <v>2551</v>
      </c>
      <c r="C8" s="651" t="s">
        <v>18</v>
      </c>
      <c r="D8" s="497">
        <v>2</v>
      </c>
      <c r="E8" s="496">
        <v>30</v>
      </c>
      <c r="F8" s="496">
        <v>3</v>
      </c>
      <c r="G8" s="497">
        <v>848</v>
      </c>
      <c r="H8" s="498">
        <v>365659446</v>
      </c>
      <c r="I8" s="495">
        <v>342433800</v>
      </c>
      <c r="J8" s="254" t="s">
        <v>2138</v>
      </c>
      <c r="K8" s="497" t="s">
        <v>20</v>
      </c>
      <c r="L8" s="496">
        <v>570</v>
      </c>
      <c r="M8" s="496">
        <v>570</v>
      </c>
    </row>
    <row r="9" spans="1:13" s="181" customFormat="1" ht="39.75" customHeight="1" thickTop="1" thickBot="1" x14ac:dyDescent="0.25">
      <c r="A9" s="494" t="s">
        <v>1316</v>
      </c>
      <c r="B9" s="625" t="s">
        <v>2551</v>
      </c>
      <c r="C9" s="653"/>
      <c r="D9" s="497">
        <v>2</v>
      </c>
      <c r="E9" s="496">
        <v>30</v>
      </c>
      <c r="F9" s="496">
        <v>3</v>
      </c>
      <c r="G9" s="497">
        <v>960</v>
      </c>
      <c r="H9" s="498">
        <v>129822035</v>
      </c>
      <c r="I9" s="495">
        <v>129822035</v>
      </c>
      <c r="J9" s="254" t="s">
        <v>1161</v>
      </c>
      <c r="K9" s="497" t="s">
        <v>16</v>
      </c>
      <c r="L9" s="496">
        <v>2</v>
      </c>
      <c r="M9" s="496">
        <v>2</v>
      </c>
    </row>
    <row r="10" spans="1:13" s="181" customFormat="1" ht="48" customHeight="1" thickTop="1" thickBot="1" x14ac:dyDescent="0.25">
      <c r="A10" s="494" t="s">
        <v>1316</v>
      </c>
      <c r="B10" s="625" t="s">
        <v>2551</v>
      </c>
      <c r="C10" s="503" t="s">
        <v>53</v>
      </c>
      <c r="D10" s="497">
        <v>2</v>
      </c>
      <c r="E10" s="496">
        <v>30</v>
      </c>
      <c r="F10" s="496">
        <v>3</v>
      </c>
      <c r="G10" s="497">
        <v>980</v>
      </c>
      <c r="H10" s="498">
        <v>383802381</v>
      </c>
      <c r="I10" s="495">
        <v>256247181</v>
      </c>
      <c r="J10" s="254" t="s">
        <v>1162</v>
      </c>
      <c r="K10" s="497" t="s">
        <v>16</v>
      </c>
      <c r="L10" s="496">
        <v>3</v>
      </c>
      <c r="M10" s="496">
        <v>2</v>
      </c>
    </row>
    <row r="11" spans="1:13" s="181" customFormat="1" ht="16.5" customHeight="1" thickTop="1" thickBot="1" x14ac:dyDescent="0.25">
      <c r="A11" s="137"/>
      <c r="B11" s="475"/>
      <c r="C11" s="183"/>
      <c r="D11" s="183"/>
      <c r="E11" s="183"/>
      <c r="F11" s="183"/>
      <c r="G11" s="183"/>
      <c r="H11" s="28"/>
      <c r="I11" s="26"/>
      <c r="J11" s="511"/>
      <c r="K11" s="24"/>
      <c r="L11" s="41"/>
      <c r="M11" s="41"/>
    </row>
    <row r="12" spans="1:13" s="152" customFormat="1" ht="30" customHeight="1" thickTop="1" thickBot="1" x14ac:dyDescent="0.3">
      <c r="A12" s="639" t="s">
        <v>0</v>
      </c>
      <c r="B12" s="639" t="s">
        <v>1</v>
      </c>
      <c r="C12" s="639" t="s">
        <v>2569</v>
      </c>
      <c r="D12" s="636" t="s">
        <v>1961</v>
      </c>
      <c r="E12" s="637"/>
      <c r="F12" s="637"/>
      <c r="G12" s="638"/>
      <c r="H12" s="636" t="s">
        <v>3</v>
      </c>
      <c r="I12" s="637"/>
      <c r="J12" s="636" t="s">
        <v>1962</v>
      </c>
      <c r="K12" s="637"/>
      <c r="L12" s="637"/>
      <c r="M12" s="637"/>
    </row>
    <row r="13" spans="1:13" s="152" customFormat="1" ht="34.5" customHeight="1" thickTop="1" thickBot="1" x14ac:dyDescent="0.3">
      <c r="A13" s="661"/>
      <c r="B13" s="661"/>
      <c r="C13" s="640"/>
      <c r="D13" s="493" t="s">
        <v>4</v>
      </c>
      <c r="E13" s="493" t="s">
        <v>5</v>
      </c>
      <c r="F13" s="493" t="s">
        <v>6</v>
      </c>
      <c r="G13" s="493" t="s">
        <v>7</v>
      </c>
      <c r="H13" s="493" t="s">
        <v>2</v>
      </c>
      <c r="I13" s="493" t="s">
        <v>3</v>
      </c>
      <c r="J13" s="493" t="s">
        <v>8</v>
      </c>
      <c r="K13" s="493" t="s">
        <v>9</v>
      </c>
      <c r="L13" s="493" t="s">
        <v>1963</v>
      </c>
      <c r="M13" s="513" t="s">
        <v>1964</v>
      </c>
    </row>
    <row r="14" spans="1:13" s="181" customFormat="1" ht="46.5" thickTop="1" thickBot="1" x14ac:dyDescent="0.25">
      <c r="A14" s="503" t="s">
        <v>1317</v>
      </c>
      <c r="B14" s="625" t="s">
        <v>2551</v>
      </c>
      <c r="C14" s="503" t="s">
        <v>18</v>
      </c>
      <c r="D14" s="502">
        <v>2</v>
      </c>
      <c r="E14" s="500">
        <v>30</v>
      </c>
      <c r="F14" s="500">
        <v>3</v>
      </c>
      <c r="G14" s="502">
        <v>848</v>
      </c>
      <c r="H14" s="509">
        <v>353847563</v>
      </c>
      <c r="I14" s="504">
        <v>276100000</v>
      </c>
      <c r="J14" s="254" t="s">
        <v>1163</v>
      </c>
      <c r="K14" s="502" t="s">
        <v>20</v>
      </c>
      <c r="L14" s="500">
        <v>816</v>
      </c>
      <c r="M14" s="503">
        <v>640</v>
      </c>
    </row>
    <row r="15" spans="1:13" s="181" customFormat="1" ht="30" customHeight="1" thickTop="1" thickBot="1" x14ac:dyDescent="0.25">
      <c r="A15" s="503" t="s">
        <v>1317</v>
      </c>
      <c r="B15" s="625" t="s">
        <v>2551</v>
      </c>
      <c r="C15" s="651" t="s">
        <v>53</v>
      </c>
      <c r="D15" s="502">
        <v>2</v>
      </c>
      <c r="E15" s="500">
        <v>30</v>
      </c>
      <c r="F15" s="500">
        <v>3</v>
      </c>
      <c r="G15" s="502">
        <v>520</v>
      </c>
      <c r="H15" s="509">
        <v>282508536</v>
      </c>
      <c r="I15" s="504">
        <v>282508536</v>
      </c>
      <c r="J15" s="254" t="s">
        <v>1164</v>
      </c>
      <c r="K15" s="502" t="s">
        <v>55</v>
      </c>
      <c r="L15" s="500">
        <v>1</v>
      </c>
      <c r="M15" s="503">
        <v>1</v>
      </c>
    </row>
    <row r="16" spans="1:13" s="181" customFormat="1" ht="35.25" thickTop="1" thickBot="1" x14ac:dyDescent="0.25">
      <c r="A16" s="503" t="s">
        <v>1317</v>
      </c>
      <c r="B16" s="625" t="s">
        <v>2551</v>
      </c>
      <c r="C16" s="652"/>
      <c r="D16" s="502">
        <v>2</v>
      </c>
      <c r="E16" s="500">
        <v>30</v>
      </c>
      <c r="F16" s="500">
        <v>3</v>
      </c>
      <c r="G16" s="502">
        <v>520</v>
      </c>
      <c r="H16" s="509">
        <v>76983375</v>
      </c>
      <c r="I16" s="504">
        <v>0</v>
      </c>
      <c r="J16" s="254" t="s">
        <v>1165</v>
      </c>
      <c r="K16" s="502" t="s">
        <v>13</v>
      </c>
      <c r="L16" s="500">
        <v>1</v>
      </c>
      <c r="M16" s="503">
        <v>0</v>
      </c>
    </row>
    <row r="17" spans="1:13" s="181" customFormat="1" ht="29.25" customHeight="1" thickTop="1" thickBot="1" x14ac:dyDescent="0.25">
      <c r="A17" s="503" t="s">
        <v>1317</v>
      </c>
      <c r="B17" s="625" t="s">
        <v>2551</v>
      </c>
      <c r="C17" s="652"/>
      <c r="D17" s="502">
        <v>2</v>
      </c>
      <c r="E17" s="500">
        <v>30</v>
      </c>
      <c r="F17" s="500">
        <v>3</v>
      </c>
      <c r="G17" s="502">
        <v>520</v>
      </c>
      <c r="H17" s="509">
        <v>59314542</v>
      </c>
      <c r="I17" s="504">
        <v>0</v>
      </c>
      <c r="J17" s="254" t="s">
        <v>1166</v>
      </c>
      <c r="K17" s="502" t="s">
        <v>13</v>
      </c>
      <c r="L17" s="500">
        <v>1</v>
      </c>
      <c r="M17" s="503">
        <v>0</v>
      </c>
    </row>
    <row r="18" spans="1:13" s="181" customFormat="1" ht="39.75" customHeight="1" thickTop="1" thickBot="1" x14ac:dyDescent="0.25">
      <c r="A18" s="503" t="s">
        <v>1317</v>
      </c>
      <c r="B18" s="625" t="s">
        <v>2551</v>
      </c>
      <c r="C18" s="652"/>
      <c r="D18" s="502">
        <v>2</v>
      </c>
      <c r="E18" s="500">
        <v>30</v>
      </c>
      <c r="F18" s="500">
        <v>3</v>
      </c>
      <c r="G18" s="502">
        <v>520</v>
      </c>
      <c r="H18" s="509">
        <v>305467523</v>
      </c>
      <c r="I18" s="504">
        <v>0</v>
      </c>
      <c r="J18" s="254" t="s">
        <v>1167</v>
      </c>
      <c r="K18" s="502" t="s">
        <v>25</v>
      </c>
      <c r="L18" s="500">
        <v>1</v>
      </c>
      <c r="M18" s="503">
        <v>0</v>
      </c>
    </row>
    <row r="19" spans="1:13" s="181" customFormat="1" ht="39.75" customHeight="1" thickTop="1" thickBot="1" x14ac:dyDescent="0.25">
      <c r="A19" s="503" t="s">
        <v>1317</v>
      </c>
      <c r="B19" s="625" t="s">
        <v>2551</v>
      </c>
      <c r="C19" s="653"/>
      <c r="D19" s="502">
        <v>2</v>
      </c>
      <c r="E19" s="500">
        <v>30</v>
      </c>
      <c r="F19" s="500">
        <v>3</v>
      </c>
      <c r="G19" s="502">
        <v>520</v>
      </c>
      <c r="H19" s="509">
        <v>100000000</v>
      </c>
      <c r="I19" s="504">
        <v>96537940</v>
      </c>
      <c r="J19" s="254" t="s">
        <v>1168</v>
      </c>
      <c r="K19" s="502" t="s">
        <v>13</v>
      </c>
      <c r="L19" s="500">
        <v>1</v>
      </c>
      <c r="M19" s="503">
        <v>1</v>
      </c>
    </row>
    <row r="20" spans="1:13" s="181" customFormat="1" ht="18" customHeight="1" thickTop="1" thickBot="1" x14ac:dyDescent="0.25">
      <c r="A20" s="137"/>
      <c r="B20" s="475"/>
      <c r="C20" s="183"/>
      <c r="D20" s="40"/>
      <c r="E20" s="41"/>
      <c r="F20" s="41"/>
      <c r="G20" s="40"/>
      <c r="H20" s="24"/>
      <c r="I20" s="26"/>
      <c r="J20" s="39"/>
      <c r="K20" s="24"/>
      <c r="L20" s="24"/>
      <c r="M20" s="24"/>
    </row>
    <row r="21" spans="1:13" s="152" customFormat="1" ht="30" customHeight="1" thickTop="1" thickBot="1" x14ac:dyDescent="0.3">
      <c r="A21" s="639" t="s">
        <v>0</v>
      </c>
      <c r="B21" s="639" t="s">
        <v>1</v>
      </c>
      <c r="C21" s="639" t="s">
        <v>2569</v>
      </c>
      <c r="D21" s="636" t="s">
        <v>1961</v>
      </c>
      <c r="E21" s="637"/>
      <c r="F21" s="637"/>
      <c r="G21" s="638"/>
      <c r="H21" s="636" t="s">
        <v>3</v>
      </c>
      <c r="I21" s="637"/>
      <c r="J21" s="636" t="s">
        <v>1962</v>
      </c>
      <c r="K21" s="637"/>
      <c r="L21" s="637"/>
      <c r="M21" s="637"/>
    </row>
    <row r="22" spans="1:13" s="152" customFormat="1" ht="34.5" customHeight="1" thickTop="1" thickBot="1" x14ac:dyDescent="0.3">
      <c r="A22" s="661"/>
      <c r="B22" s="661"/>
      <c r="C22" s="640"/>
      <c r="D22" s="493" t="s">
        <v>4</v>
      </c>
      <c r="E22" s="493" t="s">
        <v>5</v>
      </c>
      <c r="F22" s="493" t="s">
        <v>6</v>
      </c>
      <c r="G22" s="493" t="s">
        <v>7</v>
      </c>
      <c r="H22" s="493" t="s">
        <v>2</v>
      </c>
      <c r="I22" s="493" t="s">
        <v>3</v>
      </c>
      <c r="J22" s="493" t="s">
        <v>8</v>
      </c>
      <c r="K22" s="493" t="s">
        <v>9</v>
      </c>
      <c r="L22" s="493" t="s">
        <v>1963</v>
      </c>
      <c r="M22" s="513" t="s">
        <v>1964</v>
      </c>
    </row>
    <row r="23" spans="1:13" s="181" customFormat="1" ht="48.75" customHeight="1" thickTop="1" thickBot="1" x14ac:dyDescent="0.25">
      <c r="A23" s="503" t="s">
        <v>1318</v>
      </c>
      <c r="B23" s="625" t="s">
        <v>2551</v>
      </c>
      <c r="C23" s="503" t="s">
        <v>18</v>
      </c>
      <c r="D23" s="502">
        <v>2</v>
      </c>
      <c r="E23" s="500">
        <v>30</v>
      </c>
      <c r="F23" s="500">
        <v>3</v>
      </c>
      <c r="G23" s="502">
        <v>848</v>
      </c>
      <c r="H23" s="509">
        <v>650653585</v>
      </c>
      <c r="I23" s="504">
        <v>539794800</v>
      </c>
      <c r="J23" s="254" t="s">
        <v>1169</v>
      </c>
      <c r="K23" s="502" t="s">
        <v>20</v>
      </c>
      <c r="L23" s="500">
        <v>597</v>
      </c>
      <c r="M23" s="503">
        <v>495</v>
      </c>
    </row>
    <row r="24" spans="1:13" s="181" customFormat="1" ht="39.75" customHeight="1" thickTop="1" thickBot="1" x14ac:dyDescent="0.25">
      <c r="A24" s="503" t="s">
        <v>1318</v>
      </c>
      <c r="B24" s="625" t="s">
        <v>2551</v>
      </c>
      <c r="C24" s="654" t="s">
        <v>53</v>
      </c>
      <c r="D24" s="503">
        <v>2</v>
      </c>
      <c r="E24" s="503">
        <v>30</v>
      </c>
      <c r="F24" s="503">
        <v>3</v>
      </c>
      <c r="G24" s="503">
        <v>520</v>
      </c>
      <c r="H24" s="509">
        <v>88500000</v>
      </c>
      <c r="I24" s="504"/>
      <c r="J24" s="501" t="s">
        <v>1170</v>
      </c>
      <c r="K24" s="502" t="s">
        <v>55</v>
      </c>
      <c r="L24" s="500">
        <v>1</v>
      </c>
      <c r="M24" s="500">
        <v>0</v>
      </c>
    </row>
    <row r="25" spans="1:13" s="181" customFormat="1" ht="39.75" customHeight="1" thickTop="1" thickBot="1" x14ac:dyDescent="0.25">
      <c r="A25" s="503" t="s">
        <v>1318</v>
      </c>
      <c r="B25" s="625" t="s">
        <v>2551</v>
      </c>
      <c r="C25" s="654"/>
      <c r="D25" s="503">
        <v>2</v>
      </c>
      <c r="E25" s="503">
        <v>30</v>
      </c>
      <c r="F25" s="503">
        <v>3</v>
      </c>
      <c r="G25" s="503">
        <v>520</v>
      </c>
      <c r="H25" s="509">
        <v>295000000</v>
      </c>
      <c r="I25" s="504">
        <v>177000000</v>
      </c>
      <c r="J25" s="501" t="s">
        <v>1171</v>
      </c>
      <c r="K25" s="502" t="s">
        <v>25</v>
      </c>
      <c r="L25" s="500">
        <v>5</v>
      </c>
      <c r="M25" s="500">
        <v>3</v>
      </c>
    </row>
    <row r="26" spans="1:13" s="181" customFormat="1" ht="39.75" customHeight="1" thickTop="1" thickBot="1" x14ac:dyDescent="0.25">
      <c r="A26" s="503" t="s">
        <v>1318</v>
      </c>
      <c r="B26" s="625" t="s">
        <v>2551</v>
      </c>
      <c r="C26" s="654"/>
      <c r="D26" s="503">
        <v>2</v>
      </c>
      <c r="E26" s="503">
        <v>30</v>
      </c>
      <c r="F26" s="503">
        <v>3</v>
      </c>
      <c r="G26" s="503">
        <v>520</v>
      </c>
      <c r="H26" s="509">
        <v>40000000</v>
      </c>
      <c r="I26" s="504">
        <v>40000000</v>
      </c>
      <c r="J26" s="501" t="s">
        <v>1172</v>
      </c>
      <c r="K26" s="502" t="s">
        <v>13</v>
      </c>
      <c r="L26" s="500">
        <v>2</v>
      </c>
      <c r="M26" s="500">
        <v>2</v>
      </c>
    </row>
    <row r="27" spans="1:13" s="181" customFormat="1" ht="39.75" customHeight="1" thickTop="1" thickBot="1" x14ac:dyDescent="0.25">
      <c r="A27" s="503" t="s">
        <v>1318</v>
      </c>
      <c r="B27" s="625" t="s">
        <v>2551</v>
      </c>
      <c r="C27" s="654"/>
      <c r="D27" s="503">
        <v>2</v>
      </c>
      <c r="E27" s="503">
        <v>30</v>
      </c>
      <c r="F27" s="503">
        <v>3</v>
      </c>
      <c r="G27" s="503">
        <v>520</v>
      </c>
      <c r="H27" s="509">
        <v>793011698</v>
      </c>
      <c r="I27" s="504">
        <v>548071736</v>
      </c>
      <c r="J27" s="501" t="s">
        <v>1173</v>
      </c>
      <c r="K27" s="502" t="s">
        <v>55</v>
      </c>
      <c r="L27" s="500">
        <v>3</v>
      </c>
      <c r="M27" s="500">
        <v>2</v>
      </c>
    </row>
    <row r="28" spans="1:13" s="181" customFormat="1" ht="46.5" thickTop="1" thickBot="1" x14ac:dyDescent="0.25">
      <c r="A28" s="503" t="s">
        <v>1318</v>
      </c>
      <c r="B28" s="625" t="s">
        <v>2551</v>
      </c>
      <c r="C28" s="654"/>
      <c r="D28" s="503">
        <v>2</v>
      </c>
      <c r="E28" s="503">
        <v>30</v>
      </c>
      <c r="F28" s="503">
        <v>3</v>
      </c>
      <c r="G28" s="503">
        <v>520</v>
      </c>
      <c r="H28" s="509">
        <v>207290000</v>
      </c>
      <c r="I28" s="504">
        <v>140000000</v>
      </c>
      <c r="J28" s="501" t="s">
        <v>1174</v>
      </c>
      <c r="K28" s="502" t="s">
        <v>11</v>
      </c>
      <c r="L28" s="500">
        <v>1728</v>
      </c>
      <c r="M28" s="500">
        <v>1170</v>
      </c>
    </row>
    <row r="29" spans="1:13" s="181" customFormat="1" ht="38.25" customHeight="1" thickTop="1" thickBot="1" x14ac:dyDescent="0.25">
      <c r="A29" s="503" t="s">
        <v>1318</v>
      </c>
      <c r="B29" s="625" t="s">
        <v>2551</v>
      </c>
      <c r="C29" s="654"/>
      <c r="D29" s="503">
        <v>2</v>
      </c>
      <c r="E29" s="503">
        <v>30</v>
      </c>
      <c r="F29" s="503">
        <v>3</v>
      </c>
      <c r="G29" s="503">
        <v>520</v>
      </c>
      <c r="H29" s="509">
        <v>44400000</v>
      </c>
      <c r="I29" s="504"/>
      <c r="J29" s="501" t="s">
        <v>1175</v>
      </c>
      <c r="K29" s="502" t="s">
        <v>11</v>
      </c>
      <c r="L29" s="500">
        <v>444</v>
      </c>
      <c r="M29" s="500">
        <v>0</v>
      </c>
    </row>
    <row r="30" spans="1:13" s="181" customFormat="1" ht="39.75" customHeight="1" thickTop="1" thickBot="1" x14ac:dyDescent="0.25">
      <c r="A30" s="503" t="s">
        <v>1318</v>
      </c>
      <c r="B30" s="625" t="s">
        <v>2551</v>
      </c>
      <c r="C30" s="654"/>
      <c r="D30" s="503">
        <v>2</v>
      </c>
      <c r="E30" s="503">
        <v>30</v>
      </c>
      <c r="F30" s="503">
        <v>3</v>
      </c>
      <c r="G30" s="503">
        <v>540</v>
      </c>
      <c r="H30" s="509">
        <v>1990000</v>
      </c>
      <c r="I30" s="504"/>
      <c r="J30" s="501" t="s">
        <v>2139</v>
      </c>
      <c r="K30" s="502" t="s">
        <v>2147</v>
      </c>
      <c r="L30" s="500">
        <v>5</v>
      </c>
      <c r="M30" s="500">
        <v>0</v>
      </c>
    </row>
    <row r="31" spans="1:13" s="181" customFormat="1" ht="39.75" customHeight="1" thickTop="1" thickBot="1" x14ac:dyDescent="0.25">
      <c r="A31" s="503" t="s">
        <v>1318</v>
      </c>
      <c r="B31" s="625" t="s">
        <v>2551</v>
      </c>
      <c r="C31" s="654"/>
      <c r="D31" s="503">
        <v>2</v>
      </c>
      <c r="E31" s="503">
        <v>30</v>
      </c>
      <c r="F31" s="503">
        <v>3</v>
      </c>
      <c r="G31" s="503">
        <v>580</v>
      </c>
      <c r="H31" s="509">
        <v>48000000</v>
      </c>
      <c r="I31" s="504">
        <v>24000000</v>
      </c>
      <c r="J31" s="501" t="s">
        <v>1176</v>
      </c>
      <c r="K31" s="502" t="s">
        <v>72</v>
      </c>
      <c r="L31" s="500">
        <v>8</v>
      </c>
      <c r="M31" s="500">
        <v>4</v>
      </c>
    </row>
    <row r="32" spans="1:13" s="181" customFormat="1" ht="15" customHeight="1" thickTop="1" thickBot="1" x14ac:dyDescent="0.25">
      <c r="A32" s="436"/>
      <c r="B32" s="158"/>
      <c r="C32" s="158"/>
      <c r="D32" s="158"/>
      <c r="E32" s="158"/>
      <c r="F32" s="158"/>
      <c r="G32" s="158"/>
      <c r="H32" s="236"/>
      <c r="I32" s="524"/>
      <c r="J32" s="525"/>
      <c r="K32" s="165"/>
      <c r="L32" s="164"/>
      <c r="M32" s="164"/>
    </row>
    <row r="33" spans="1:13" s="152" customFormat="1" ht="30" customHeight="1" thickTop="1" thickBot="1" x14ac:dyDescent="0.3">
      <c r="A33" s="639" t="s">
        <v>0</v>
      </c>
      <c r="B33" s="639" t="s">
        <v>1</v>
      </c>
      <c r="C33" s="639" t="s">
        <v>2569</v>
      </c>
      <c r="D33" s="636" t="s">
        <v>1961</v>
      </c>
      <c r="E33" s="637"/>
      <c r="F33" s="637"/>
      <c r="G33" s="638"/>
      <c r="H33" s="636" t="s">
        <v>3</v>
      </c>
      <c r="I33" s="637"/>
      <c r="J33" s="636" t="s">
        <v>1962</v>
      </c>
      <c r="K33" s="637"/>
      <c r="L33" s="637"/>
      <c r="M33" s="637"/>
    </row>
    <row r="34" spans="1:13" s="152" customFormat="1" ht="34.5" customHeight="1" thickTop="1" thickBot="1" x14ac:dyDescent="0.3">
      <c r="A34" s="661"/>
      <c r="B34" s="661"/>
      <c r="C34" s="661"/>
      <c r="D34" s="493" t="s">
        <v>4</v>
      </c>
      <c r="E34" s="493" t="s">
        <v>5</v>
      </c>
      <c r="F34" s="493" t="s">
        <v>6</v>
      </c>
      <c r="G34" s="493" t="s">
        <v>7</v>
      </c>
      <c r="H34" s="493" t="s">
        <v>2</v>
      </c>
      <c r="I34" s="493" t="s">
        <v>3</v>
      </c>
      <c r="J34" s="493" t="s">
        <v>8</v>
      </c>
      <c r="K34" s="493" t="s">
        <v>9</v>
      </c>
      <c r="L34" s="493" t="s">
        <v>1963</v>
      </c>
      <c r="M34" s="513" t="s">
        <v>1964</v>
      </c>
    </row>
    <row r="35" spans="1:13" s="181" customFormat="1" ht="46.5" thickTop="1" thickBot="1" x14ac:dyDescent="0.25">
      <c r="A35" s="503" t="s">
        <v>1319</v>
      </c>
      <c r="B35" s="628" t="s">
        <v>2551</v>
      </c>
      <c r="C35" s="654" t="s">
        <v>18</v>
      </c>
      <c r="D35" s="502">
        <v>3</v>
      </c>
      <c r="E35" s="502">
        <v>30</v>
      </c>
      <c r="F35" s="502">
        <v>3</v>
      </c>
      <c r="G35" s="502">
        <v>848</v>
      </c>
      <c r="H35" s="509">
        <v>380381298</v>
      </c>
      <c r="I35" s="504">
        <v>155974000</v>
      </c>
      <c r="J35" s="501" t="s">
        <v>1177</v>
      </c>
      <c r="K35" s="502" t="s">
        <v>20</v>
      </c>
      <c r="L35" s="500">
        <v>110</v>
      </c>
      <c r="M35" s="500">
        <v>110</v>
      </c>
    </row>
    <row r="36" spans="1:13" s="181" customFormat="1" ht="46.5" thickTop="1" thickBot="1" x14ac:dyDescent="0.25">
      <c r="A36" s="503" t="s">
        <v>1319</v>
      </c>
      <c r="B36" s="628" t="s">
        <v>2551</v>
      </c>
      <c r="C36" s="654"/>
      <c r="D36" s="502">
        <v>3</v>
      </c>
      <c r="E36" s="502">
        <v>30</v>
      </c>
      <c r="F36" s="502">
        <v>3</v>
      </c>
      <c r="G36" s="502">
        <v>848</v>
      </c>
      <c r="H36" s="509">
        <v>52204000</v>
      </c>
      <c r="I36" s="504">
        <v>52204000</v>
      </c>
      <c r="J36" s="501" t="s">
        <v>1178</v>
      </c>
      <c r="K36" s="502" t="s">
        <v>20</v>
      </c>
      <c r="L36" s="500">
        <v>99</v>
      </c>
      <c r="M36" s="500">
        <v>99</v>
      </c>
    </row>
    <row r="37" spans="1:13" s="181" customFormat="1" ht="51.75" customHeight="1" thickTop="1" thickBot="1" x14ac:dyDescent="0.25">
      <c r="A37" s="503" t="s">
        <v>1319</v>
      </c>
      <c r="B37" s="628" t="s">
        <v>2551</v>
      </c>
      <c r="C37" s="654" t="s">
        <v>53</v>
      </c>
      <c r="D37" s="502">
        <v>3</v>
      </c>
      <c r="E37" s="502">
        <v>30</v>
      </c>
      <c r="F37" s="502">
        <v>3</v>
      </c>
      <c r="G37" s="502">
        <v>520</v>
      </c>
      <c r="H37" s="509">
        <v>18000000</v>
      </c>
      <c r="I37" s="504">
        <v>17203409</v>
      </c>
      <c r="J37" s="501" t="s">
        <v>1179</v>
      </c>
      <c r="K37" s="502" t="s">
        <v>13</v>
      </c>
      <c r="L37" s="500">
        <v>3</v>
      </c>
      <c r="M37" s="500">
        <v>3</v>
      </c>
    </row>
    <row r="38" spans="1:13" s="181" customFormat="1" ht="91.5" thickTop="1" thickBot="1" x14ac:dyDescent="0.25">
      <c r="A38" s="503" t="s">
        <v>1319</v>
      </c>
      <c r="B38" s="628" t="s">
        <v>2551</v>
      </c>
      <c r="C38" s="654"/>
      <c r="D38" s="502">
        <v>3</v>
      </c>
      <c r="E38" s="502">
        <v>30</v>
      </c>
      <c r="F38" s="502">
        <v>3</v>
      </c>
      <c r="G38" s="502">
        <v>520</v>
      </c>
      <c r="H38" s="509">
        <v>36108837</v>
      </c>
      <c r="I38" s="504">
        <v>26108837</v>
      </c>
      <c r="J38" s="501" t="s">
        <v>1180</v>
      </c>
      <c r="K38" s="502" t="s">
        <v>13</v>
      </c>
      <c r="L38" s="500">
        <v>4</v>
      </c>
      <c r="M38" s="500">
        <v>2</v>
      </c>
    </row>
    <row r="39" spans="1:13" s="181" customFormat="1" ht="75" customHeight="1" thickTop="1" thickBot="1" x14ac:dyDescent="0.25">
      <c r="A39" s="503" t="s">
        <v>1319</v>
      </c>
      <c r="B39" s="628" t="s">
        <v>2551</v>
      </c>
      <c r="C39" s="654"/>
      <c r="D39" s="502">
        <v>3</v>
      </c>
      <c r="E39" s="502">
        <v>30</v>
      </c>
      <c r="F39" s="502">
        <v>3</v>
      </c>
      <c r="G39" s="502">
        <v>520</v>
      </c>
      <c r="H39" s="509">
        <v>36650000</v>
      </c>
      <c r="I39" s="504">
        <v>29145600</v>
      </c>
      <c r="J39" s="501" t="s">
        <v>1181</v>
      </c>
      <c r="K39" s="502" t="s">
        <v>13</v>
      </c>
      <c r="L39" s="500">
        <v>3</v>
      </c>
      <c r="M39" s="500">
        <v>2</v>
      </c>
    </row>
    <row r="40" spans="1:13" s="181" customFormat="1" ht="57.75" thickTop="1" thickBot="1" x14ac:dyDescent="0.25">
      <c r="A40" s="503" t="s">
        <v>1319</v>
      </c>
      <c r="B40" s="628" t="s">
        <v>2551</v>
      </c>
      <c r="C40" s="654"/>
      <c r="D40" s="502">
        <v>3</v>
      </c>
      <c r="E40" s="502">
        <v>30</v>
      </c>
      <c r="F40" s="502">
        <v>3</v>
      </c>
      <c r="G40" s="502">
        <v>520</v>
      </c>
      <c r="H40" s="509">
        <v>50000000</v>
      </c>
      <c r="I40" s="504">
        <v>30601884</v>
      </c>
      <c r="J40" s="501" t="s">
        <v>1182</v>
      </c>
      <c r="K40" s="502" t="s">
        <v>13</v>
      </c>
      <c r="L40" s="500">
        <v>2</v>
      </c>
      <c r="M40" s="500">
        <v>1</v>
      </c>
    </row>
    <row r="41" spans="1:13" s="181" customFormat="1" ht="57.75" thickTop="1" thickBot="1" x14ac:dyDescent="0.25">
      <c r="A41" s="503" t="s">
        <v>1319</v>
      </c>
      <c r="B41" s="628" t="s">
        <v>2551</v>
      </c>
      <c r="C41" s="654"/>
      <c r="D41" s="502">
        <v>3</v>
      </c>
      <c r="E41" s="502">
        <v>30</v>
      </c>
      <c r="F41" s="502">
        <v>3</v>
      </c>
      <c r="G41" s="502">
        <v>520</v>
      </c>
      <c r="H41" s="509">
        <v>15000000</v>
      </c>
      <c r="I41" s="504">
        <v>0</v>
      </c>
      <c r="J41" s="501" t="s">
        <v>1183</v>
      </c>
      <c r="K41" s="502" t="s">
        <v>13</v>
      </c>
      <c r="L41" s="500">
        <v>3</v>
      </c>
      <c r="M41" s="500">
        <v>0</v>
      </c>
    </row>
    <row r="42" spans="1:13" s="181" customFormat="1" ht="57.75" thickTop="1" thickBot="1" x14ac:dyDescent="0.25">
      <c r="A42" s="503" t="s">
        <v>1319</v>
      </c>
      <c r="B42" s="628" t="s">
        <v>2551</v>
      </c>
      <c r="C42" s="654"/>
      <c r="D42" s="502">
        <v>3</v>
      </c>
      <c r="E42" s="502">
        <v>30</v>
      </c>
      <c r="F42" s="502">
        <v>3</v>
      </c>
      <c r="G42" s="502">
        <v>520</v>
      </c>
      <c r="H42" s="509">
        <v>32316320</v>
      </c>
      <c r="I42" s="504">
        <v>0</v>
      </c>
      <c r="J42" s="501" t="s">
        <v>1184</v>
      </c>
      <c r="K42" s="502" t="s">
        <v>13</v>
      </c>
      <c r="L42" s="500">
        <v>4</v>
      </c>
      <c r="M42" s="500">
        <v>0</v>
      </c>
    </row>
    <row r="43" spans="1:13" s="181" customFormat="1" ht="35.25" thickTop="1" thickBot="1" x14ac:dyDescent="0.25">
      <c r="A43" s="503" t="s">
        <v>1319</v>
      </c>
      <c r="B43" s="628" t="s">
        <v>2551</v>
      </c>
      <c r="C43" s="654"/>
      <c r="D43" s="502">
        <v>3</v>
      </c>
      <c r="E43" s="502">
        <v>30</v>
      </c>
      <c r="F43" s="502">
        <v>3</v>
      </c>
      <c r="G43" s="502">
        <v>520</v>
      </c>
      <c r="H43" s="509">
        <v>45000000</v>
      </c>
      <c r="I43" s="504">
        <v>0</v>
      </c>
      <c r="J43" s="501" t="s">
        <v>1185</v>
      </c>
      <c r="K43" s="502" t="s">
        <v>25</v>
      </c>
      <c r="L43" s="500">
        <v>1</v>
      </c>
      <c r="M43" s="500">
        <v>0</v>
      </c>
    </row>
    <row r="44" spans="1:13" s="181" customFormat="1" ht="80.25" thickTop="1" thickBot="1" x14ac:dyDescent="0.25">
      <c r="A44" s="503" t="s">
        <v>1319</v>
      </c>
      <c r="B44" s="628" t="s">
        <v>2551</v>
      </c>
      <c r="C44" s="654"/>
      <c r="D44" s="502">
        <v>3</v>
      </c>
      <c r="E44" s="502">
        <v>30</v>
      </c>
      <c r="F44" s="502">
        <v>3</v>
      </c>
      <c r="G44" s="502">
        <v>520</v>
      </c>
      <c r="H44" s="509">
        <v>31775496</v>
      </c>
      <c r="I44" s="504">
        <v>0</v>
      </c>
      <c r="J44" s="501" t="s">
        <v>1186</v>
      </c>
      <c r="K44" s="502" t="s">
        <v>13</v>
      </c>
      <c r="L44" s="500">
        <v>3</v>
      </c>
      <c r="M44" s="500">
        <v>0</v>
      </c>
    </row>
    <row r="45" spans="1:13" s="181" customFormat="1" ht="84.75" customHeight="1" thickTop="1" thickBot="1" x14ac:dyDescent="0.25">
      <c r="A45" s="503" t="s">
        <v>1319</v>
      </c>
      <c r="B45" s="628" t="s">
        <v>2551</v>
      </c>
      <c r="C45" s="654"/>
      <c r="D45" s="502">
        <v>3</v>
      </c>
      <c r="E45" s="502">
        <v>30</v>
      </c>
      <c r="F45" s="502">
        <v>3</v>
      </c>
      <c r="G45" s="502">
        <v>520</v>
      </c>
      <c r="H45" s="509">
        <v>98000000</v>
      </c>
      <c r="I45" s="504">
        <v>0</v>
      </c>
      <c r="J45" s="501" t="s">
        <v>1187</v>
      </c>
      <c r="K45" s="502" t="s">
        <v>13</v>
      </c>
      <c r="L45" s="500">
        <v>3</v>
      </c>
      <c r="M45" s="500">
        <v>0</v>
      </c>
    </row>
    <row r="46" spans="1:13" s="181" customFormat="1" ht="69" thickTop="1" thickBot="1" x14ac:dyDescent="0.25">
      <c r="A46" s="503" t="s">
        <v>1319</v>
      </c>
      <c r="B46" s="628" t="s">
        <v>2551</v>
      </c>
      <c r="C46" s="654"/>
      <c r="D46" s="502">
        <v>3</v>
      </c>
      <c r="E46" s="502">
        <v>30</v>
      </c>
      <c r="F46" s="502">
        <v>3</v>
      </c>
      <c r="G46" s="502">
        <v>520</v>
      </c>
      <c r="H46" s="509">
        <v>65000000</v>
      </c>
      <c r="I46" s="504">
        <v>25071193</v>
      </c>
      <c r="J46" s="501" t="s">
        <v>1188</v>
      </c>
      <c r="K46" s="502" t="s">
        <v>13</v>
      </c>
      <c r="L46" s="500">
        <v>4</v>
      </c>
      <c r="M46" s="500">
        <v>2</v>
      </c>
    </row>
    <row r="47" spans="1:13" s="181" customFormat="1" ht="73.5" customHeight="1" thickTop="1" thickBot="1" x14ac:dyDescent="0.25">
      <c r="A47" s="503" t="s">
        <v>1319</v>
      </c>
      <c r="B47" s="628" t="s">
        <v>2551</v>
      </c>
      <c r="C47" s="654"/>
      <c r="D47" s="502">
        <v>3</v>
      </c>
      <c r="E47" s="502">
        <v>30</v>
      </c>
      <c r="F47" s="502">
        <v>3</v>
      </c>
      <c r="G47" s="502">
        <v>520</v>
      </c>
      <c r="H47" s="509">
        <v>28000000</v>
      </c>
      <c r="I47" s="504">
        <v>27990018</v>
      </c>
      <c r="J47" s="501" t="s">
        <v>1189</v>
      </c>
      <c r="K47" s="502" t="s">
        <v>13</v>
      </c>
      <c r="L47" s="500">
        <v>3</v>
      </c>
      <c r="M47" s="500">
        <v>3</v>
      </c>
    </row>
    <row r="48" spans="1:13" s="181" customFormat="1" ht="45.75" customHeight="1" thickTop="1" thickBot="1" x14ac:dyDescent="0.25">
      <c r="A48" s="503" t="s">
        <v>1319</v>
      </c>
      <c r="B48" s="628" t="s">
        <v>2551</v>
      </c>
      <c r="C48" s="654"/>
      <c r="D48" s="502">
        <v>3</v>
      </c>
      <c r="E48" s="502">
        <v>30</v>
      </c>
      <c r="F48" s="502">
        <v>3</v>
      </c>
      <c r="G48" s="502">
        <v>520</v>
      </c>
      <c r="H48" s="509">
        <v>131409680</v>
      </c>
      <c r="I48" s="504">
        <v>131409680</v>
      </c>
      <c r="J48" s="501" t="s">
        <v>1190</v>
      </c>
      <c r="K48" s="502" t="s">
        <v>13</v>
      </c>
      <c r="L48" s="500">
        <v>1</v>
      </c>
      <c r="M48" s="500">
        <v>1</v>
      </c>
    </row>
    <row r="49" spans="1:13" s="181" customFormat="1" ht="61.5" customHeight="1" thickTop="1" thickBot="1" x14ac:dyDescent="0.25">
      <c r="A49" s="503" t="s">
        <v>1319</v>
      </c>
      <c r="B49" s="628" t="s">
        <v>2551</v>
      </c>
      <c r="C49" s="654"/>
      <c r="D49" s="502">
        <v>3</v>
      </c>
      <c r="E49" s="502">
        <v>30</v>
      </c>
      <c r="F49" s="502">
        <v>3</v>
      </c>
      <c r="G49" s="502">
        <v>520</v>
      </c>
      <c r="H49" s="509">
        <v>25750000</v>
      </c>
      <c r="I49" s="504">
        <v>25709250</v>
      </c>
      <c r="J49" s="501" t="s">
        <v>1191</v>
      </c>
      <c r="K49" s="502" t="s">
        <v>13</v>
      </c>
      <c r="L49" s="500">
        <v>3</v>
      </c>
      <c r="M49" s="500">
        <v>3</v>
      </c>
    </row>
    <row r="50" spans="1:13" s="181" customFormat="1" ht="36.75" customHeight="1" thickTop="1" thickBot="1" x14ac:dyDescent="0.25">
      <c r="A50" s="503" t="s">
        <v>1319</v>
      </c>
      <c r="B50" s="628" t="s">
        <v>2551</v>
      </c>
      <c r="C50" s="654"/>
      <c r="D50" s="502">
        <v>3</v>
      </c>
      <c r="E50" s="502">
        <v>30</v>
      </c>
      <c r="F50" s="502">
        <v>3</v>
      </c>
      <c r="G50" s="502">
        <v>520</v>
      </c>
      <c r="H50" s="509">
        <v>32000000</v>
      </c>
      <c r="I50" s="504">
        <v>32000000</v>
      </c>
      <c r="J50" s="501" t="s">
        <v>1192</v>
      </c>
      <c r="K50" s="502" t="s">
        <v>13</v>
      </c>
      <c r="L50" s="500">
        <v>1</v>
      </c>
      <c r="M50" s="500">
        <v>1</v>
      </c>
    </row>
    <row r="51" spans="1:13" s="181" customFormat="1" ht="36.75" customHeight="1" thickTop="1" thickBot="1" x14ac:dyDescent="0.25">
      <c r="A51" s="503" t="s">
        <v>1319</v>
      </c>
      <c r="B51" s="628" t="s">
        <v>2551</v>
      </c>
      <c r="C51" s="651" t="s">
        <v>440</v>
      </c>
      <c r="D51" s="502">
        <v>3</v>
      </c>
      <c r="E51" s="502">
        <v>30</v>
      </c>
      <c r="F51" s="502">
        <v>3</v>
      </c>
      <c r="G51" s="502">
        <v>520</v>
      </c>
      <c r="H51" s="509">
        <v>17028224</v>
      </c>
      <c r="I51" s="504">
        <v>0</v>
      </c>
      <c r="J51" s="501" t="s">
        <v>1193</v>
      </c>
      <c r="K51" s="502" t="s">
        <v>13</v>
      </c>
      <c r="L51" s="500">
        <v>1</v>
      </c>
      <c r="M51" s="500">
        <v>0</v>
      </c>
    </row>
    <row r="52" spans="1:13" s="181" customFormat="1" ht="36.75" customHeight="1" thickTop="1" thickBot="1" x14ac:dyDescent="0.25">
      <c r="A52" s="503" t="s">
        <v>1319</v>
      </c>
      <c r="B52" s="628" t="s">
        <v>2551</v>
      </c>
      <c r="C52" s="652"/>
      <c r="D52" s="502">
        <v>2</v>
      </c>
      <c r="E52" s="502">
        <v>30</v>
      </c>
      <c r="F52" s="502">
        <v>3</v>
      </c>
      <c r="G52" s="502">
        <v>520</v>
      </c>
      <c r="H52" s="509">
        <v>125000000</v>
      </c>
      <c r="I52" s="504">
        <v>125000000</v>
      </c>
      <c r="J52" s="501" t="s">
        <v>1194</v>
      </c>
      <c r="K52" s="502" t="s">
        <v>13</v>
      </c>
      <c r="L52" s="500">
        <v>1</v>
      </c>
      <c r="M52" s="500">
        <v>1</v>
      </c>
    </row>
    <row r="53" spans="1:13" s="181" customFormat="1" ht="36.75" customHeight="1" thickTop="1" thickBot="1" x14ac:dyDescent="0.25">
      <c r="A53" s="503" t="s">
        <v>1319</v>
      </c>
      <c r="B53" s="628" t="s">
        <v>2551</v>
      </c>
      <c r="C53" s="653"/>
      <c r="D53" s="502">
        <v>3</v>
      </c>
      <c r="E53" s="502">
        <v>30</v>
      </c>
      <c r="F53" s="502">
        <v>3</v>
      </c>
      <c r="G53" s="502">
        <v>520</v>
      </c>
      <c r="H53" s="509">
        <v>26727137</v>
      </c>
      <c r="I53" s="504">
        <v>0</v>
      </c>
      <c r="J53" s="501" t="s">
        <v>1193</v>
      </c>
      <c r="K53" s="502" t="s">
        <v>15</v>
      </c>
      <c r="L53" s="500">
        <v>1</v>
      </c>
      <c r="M53" s="500">
        <v>0</v>
      </c>
    </row>
    <row r="54" spans="1:13" s="181" customFormat="1" ht="32.25" customHeight="1" thickTop="1" thickBot="1" x14ac:dyDescent="0.25">
      <c r="A54" s="503" t="s">
        <v>1319</v>
      </c>
      <c r="B54" s="628" t="s">
        <v>2551</v>
      </c>
      <c r="C54" s="654" t="s">
        <v>42</v>
      </c>
      <c r="D54" s="502">
        <v>3</v>
      </c>
      <c r="E54" s="502">
        <v>30</v>
      </c>
      <c r="F54" s="502">
        <v>3</v>
      </c>
      <c r="G54" s="502">
        <v>530</v>
      </c>
      <c r="H54" s="509">
        <v>7790000</v>
      </c>
      <c r="I54" s="504"/>
      <c r="J54" s="501" t="s">
        <v>1195</v>
      </c>
      <c r="K54" s="502" t="s">
        <v>193</v>
      </c>
      <c r="L54" s="500">
        <v>44</v>
      </c>
      <c r="M54" s="500">
        <v>0</v>
      </c>
    </row>
    <row r="55" spans="1:13" s="181" customFormat="1" ht="36.75" customHeight="1" thickTop="1" thickBot="1" x14ac:dyDescent="0.25">
      <c r="A55" s="503" t="s">
        <v>1319</v>
      </c>
      <c r="B55" s="628" t="s">
        <v>2551</v>
      </c>
      <c r="C55" s="654"/>
      <c r="D55" s="502">
        <v>3</v>
      </c>
      <c r="E55" s="502">
        <v>30</v>
      </c>
      <c r="F55" s="502">
        <v>3</v>
      </c>
      <c r="G55" s="502">
        <v>530</v>
      </c>
      <c r="H55" s="509">
        <v>5000000</v>
      </c>
      <c r="I55" s="504">
        <v>0</v>
      </c>
      <c r="J55" s="501" t="s">
        <v>1196</v>
      </c>
      <c r="K55" s="502" t="s">
        <v>190</v>
      </c>
      <c r="L55" s="500">
        <v>15</v>
      </c>
      <c r="M55" s="500">
        <v>0</v>
      </c>
    </row>
    <row r="56" spans="1:13" s="181" customFormat="1" ht="46.5" thickTop="1" thickBot="1" x14ac:dyDescent="0.25">
      <c r="A56" s="503" t="s">
        <v>1319</v>
      </c>
      <c r="B56" s="628" t="s">
        <v>2551</v>
      </c>
      <c r="C56" s="654"/>
      <c r="D56" s="502">
        <v>3</v>
      </c>
      <c r="E56" s="502">
        <v>30</v>
      </c>
      <c r="F56" s="502">
        <v>3</v>
      </c>
      <c r="G56" s="502">
        <v>530</v>
      </c>
      <c r="H56" s="509">
        <v>7760000</v>
      </c>
      <c r="I56" s="504">
        <v>7760000</v>
      </c>
      <c r="J56" s="501" t="s">
        <v>1197</v>
      </c>
      <c r="K56" s="500" t="s">
        <v>180</v>
      </c>
      <c r="L56" s="500">
        <v>10</v>
      </c>
      <c r="M56" s="500">
        <v>10</v>
      </c>
    </row>
    <row r="57" spans="1:13" s="181" customFormat="1" ht="35.25" thickTop="1" thickBot="1" x14ac:dyDescent="0.25">
      <c r="A57" s="503" t="s">
        <v>1319</v>
      </c>
      <c r="B57" s="628" t="s">
        <v>2551</v>
      </c>
      <c r="C57" s="654"/>
      <c r="D57" s="502">
        <v>3</v>
      </c>
      <c r="E57" s="502">
        <v>30</v>
      </c>
      <c r="F57" s="502">
        <v>3</v>
      </c>
      <c r="G57" s="502">
        <v>540</v>
      </c>
      <c r="H57" s="509">
        <v>19568000</v>
      </c>
      <c r="I57" s="504">
        <v>19568000</v>
      </c>
      <c r="J57" s="501" t="s">
        <v>1198</v>
      </c>
      <c r="K57" s="502" t="s">
        <v>193</v>
      </c>
      <c r="L57" s="500">
        <v>8</v>
      </c>
      <c r="M57" s="500">
        <v>8</v>
      </c>
    </row>
    <row r="58" spans="1:13" s="181" customFormat="1" ht="30.75" customHeight="1" thickTop="1" thickBot="1" x14ac:dyDescent="0.25">
      <c r="A58" s="503" t="s">
        <v>1319</v>
      </c>
      <c r="B58" s="628" t="s">
        <v>2551</v>
      </c>
      <c r="C58" s="654"/>
      <c r="D58" s="502">
        <v>3</v>
      </c>
      <c r="E58" s="502">
        <v>30</v>
      </c>
      <c r="F58" s="502">
        <v>3</v>
      </c>
      <c r="G58" s="502">
        <v>540</v>
      </c>
      <c r="H58" s="509">
        <v>6460000</v>
      </c>
      <c r="I58" s="504">
        <v>6460000</v>
      </c>
      <c r="J58" s="501" t="s">
        <v>1199</v>
      </c>
      <c r="K58" s="502" t="s">
        <v>193</v>
      </c>
      <c r="L58" s="500">
        <v>5</v>
      </c>
      <c r="M58" s="500">
        <v>5</v>
      </c>
    </row>
    <row r="59" spans="1:13" s="181" customFormat="1" ht="29.25" customHeight="1" thickTop="1" thickBot="1" x14ac:dyDescent="0.25">
      <c r="A59" s="503" t="s">
        <v>1319</v>
      </c>
      <c r="B59" s="628" t="s">
        <v>2551</v>
      </c>
      <c r="C59" s="654"/>
      <c r="D59" s="502">
        <v>3</v>
      </c>
      <c r="E59" s="502">
        <v>30</v>
      </c>
      <c r="F59" s="502">
        <v>3</v>
      </c>
      <c r="G59" s="502">
        <v>540</v>
      </c>
      <c r="H59" s="509">
        <v>15356000</v>
      </c>
      <c r="I59" s="504">
        <v>15356000</v>
      </c>
      <c r="J59" s="501" t="s">
        <v>1195</v>
      </c>
      <c r="K59" s="502" t="s">
        <v>193</v>
      </c>
      <c r="L59" s="500">
        <v>44</v>
      </c>
      <c r="M59" s="500">
        <v>44</v>
      </c>
    </row>
    <row r="60" spans="1:13" s="181" customFormat="1" ht="36" customHeight="1" thickTop="1" thickBot="1" x14ac:dyDescent="0.25">
      <c r="A60" s="503" t="s">
        <v>1319</v>
      </c>
      <c r="B60" s="628" t="s">
        <v>2551</v>
      </c>
      <c r="C60" s="654"/>
      <c r="D60" s="502">
        <v>3</v>
      </c>
      <c r="E60" s="502">
        <v>30</v>
      </c>
      <c r="F60" s="502">
        <v>3</v>
      </c>
      <c r="G60" s="502">
        <v>540</v>
      </c>
      <c r="H60" s="509">
        <v>14850000</v>
      </c>
      <c r="I60" s="504">
        <v>14580000</v>
      </c>
      <c r="J60" s="501" t="s">
        <v>1196</v>
      </c>
      <c r="K60" s="502" t="s">
        <v>190</v>
      </c>
      <c r="L60" s="500">
        <v>15</v>
      </c>
      <c r="M60" s="500">
        <v>15</v>
      </c>
    </row>
    <row r="61" spans="1:13" s="181" customFormat="1" ht="36" customHeight="1" thickTop="1" thickBot="1" x14ac:dyDescent="0.25">
      <c r="A61" s="503" t="s">
        <v>1319</v>
      </c>
      <c r="B61" s="628" t="s">
        <v>2551</v>
      </c>
      <c r="C61" s="654"/>
      <c r="D61" s="502">
        <v>3</v>
      </c>
      <c r="E61" s="502">
        <v>30</v>
      </c>
      <c r="F61" s="502">
        <v>3</v>
      </c>
      <c r="G61" s="502">
        <v>540</v>
      </c>
      <c r="H61" s="509">
        <v>17312000</v>
      </c>
      <c r="I61" s="504">
        <v>17312000</v>
      </c>
      <c r="J61" s="501" t="s">
        <v>1200</v>
      </c>
      <c r="K61" s="500" t="s">
        <v>180</v>
      </c>
      <c r="L61" s="500">
        <v>4</v>
      </c>
      <c r="M61" s="500">
        <v>4</v>
      </c>
    </row>
    <row r="62" spans="1:13" s="181" customFormat="1" ht="36" customHeight="1" thickTop="1" thickBot="1" x14ac:dyDescent="0.25">
      <c r="A62" s="503" t="s">
        <v>1319</v>
      </c>
      <c r="B62" s="628" t="s">
        <v>2551</v>
      </c>
      <c r="C62" s="654"/>
      <c r="D62" s="502">
        <v>3</v>
      </c>
      <c r="E62" s="502">
        <v>30</v>
      </c>
      <c r="F62" s="502">
        <v>3</v>
      </c>
      <c r="G62" s="502">
        <v>540</v>
      </c>
      <c r="H62" s="509">
        <v>25600000</v>
      </c>
      <c r="I62" s="504">
        <v>25600000</v>
      </c>
      <c r="J62" s="501" t="s">
        <v>1201</v>
      </c>
      <c r="K62" s="500" t="s">
        <v>180</v>
      </c>
      <c r="L62" s="500">
        <v>8</v>
      </c>
      <c r="M62" s="500">
        <v>8</v>
      </c>
    </row>
    <row r="63" spans="1:13" s="181" customFormat="1" ht="29.25" customHeight="1" thickTop="1" thickBot="1" x14ac:dyDescent="0.25">
      <c r="A63" s="503" t="s">
        <v>1319</v>
      </c>
      <c r="B63" s="628" t="s">
        <v>2551</v>
      </c>
      <c r="C63" s="654"/>
      <c r="D63" s="502">
        <v>3</v>
      </c>
      <c r="E63" s="502">
        <v>30</v>
      </c>
      <c r="F63" s="502">
        <v>3</v>
      </c>
      <c r="G63" s="502">
        <v>540</v>
      </c>
      <c r="H63" s="509">
        <v>3430000</v>
      </c>
      <c r="I63" s="504">
        <v>3430000</v>
      </c>
      <c r="J63" s="501" t="s">
        <v>1202</v>
      </c>
      <c r="K63" s="500" t="s">
        <v>180</v>
      </c>
      <c r="L63" s="500">
        <v>7</v>
      </c>
      <c r="M63" s="500">
        <v>7</v>
      </c>
    </row>
    <row r="64" spans="1:13" s="181" customFormat="1" ht="37.5" customHeight="1" thickTop="1" thickBot="1" x14ac:dyDescent="0.25">
      <c r="A64" s="503" t="s">
        <v>1319</v>
      </c>
      <c r="B64" s="628" t="s">
        <v>2551</v>
      </c>
      <c r="C64" s="654"/>
      <c r="D64" s="502">
        <v>3</v>
      </c>
      <c r="E64" s="502">
        <v>30</v>
      </c>
      <c r="F64" s="502">
        <v>3</v>
      </c>
      <c r="G64" s="502">
        <v>540</v>
      </c>
      <c r="H64" s="509">
        <v>26744000</v>
      </c>
      <c r="I64" s="504">
        <v>26560000</v>
      </c>
      <c r="J64" s="501" t="s">
        <v>1203</v>
      </c>
      <c r="K64" s="500" t="s">
        <v>180</v>
      </c>
      <c r="L64" s="500">
        <v>8</v>
      </c>
      <c r="M64" s="500">
        <v>8</v>
      </c>
    </row>
    <row r="65" spans="1:13" s="181" customFormat="1" ht="40.5" customHeight="1" thickTop="1" thickBot="1" x14ac:dyDescent="0.25">
      <c r="A65" s="503" t="s">
        <v>1319</v>
      </c>
      <c r="B65" s="628" t="s">
        <v>2551</v>
      </c>
      <c r="C65" s="654"/>
      <c r="D65" s="502">
        <v>3</v>
      </c>
      <c r="E65" s="502">
        <v>30</v>
      </c>
      <c r="F65" s="502">
        <v>3</v>
      </c>
      <c r="G65" s="502">
        <v>540</v>
      </c>
      <c r="H65" s="509">
        <v>29680000</v>
      </c>
      <c r="I65" s="504">
        <v>29680000</v>
      </c>
      <c r="J65" s="501" t="s">
        <v>1204</v>
      </c>
      <c r="K65" s="500" t="s">
        <v>180</v>
      </c>
      <c r="L65" s="500">
        <v>8</v>
      </c>
      <c r="M65" s="500">
        <v>8</v>
      </c>
    </row>
    <row r="66" spans="1:13" s="181" customFormat="1" ht="59.25" customHeight="1" thickTop="1" thickBot="1" x14ac:dyDescent="0.25">
      <c r="A66" s="503" t="s">
        <v>1319</v>
      </c>
      <c r="B66" s="628" t="s">
        <v>2551</v>
      </c>
      <c r="C66" s="503" t="s">
        <v>53</v>
      </c>
      <c r="D66" s="502">
        <v>3</v>
      </c>
      <c r="E66" s="502">
        <v>30</v>
      </c>
      <c r="F66" s="502">
        <v>3</v>
      </c>
      <c r="G66" s="502">
        <v>980</v>
      </c>
      <c r="H66" s="509">
        <v>16050000</v>
      </c>
      <c r="I66" s="504">
        <v>0</v>
      </c>
      <c r="J66" s="501" t="s">
        <v>1205</v>
      </c>
      <c r="K66" s="502" t="s">
        <v>16</v>
      </c>
      <c r="L66" s="500">
        <v>1</v>
      </c>
      <c r="M66" s="500">
        <v>0</v>
      </c>
    </row>
    <row r="67" spans="1:13" s="181" customFormat="1" ht="15.75" customHeight="1" thickTop="1" thickBot="1" x14ac:dyDescent="0.25">
      <c r="A67" s="436"/>
      <c r="B67" s="475"/>
      <c r="C67" s="158"/>
      <c r="D67" s="165"/>
      <c r="E67" s="165"/>
      <c r="F67" s="165"/>
      <c r="G67" s="165"/>
      <c r="H67" s="164"/>
      <c r="I67" s="486"/>
      <c r="J67" s="525"/>
      <c r="K67" s="165"/>
      <c r="L67" s="164"/>
      <c r="M67" s="164"/>
    </row>
    <row r="68" spans="1:13" s="152" customFormat="1" ht="30" customHeight="1" thickTop="1" thickBot="1" x14ac:dyDescent="0.3">
      <c r="A68" s="639" t="s">
        <v>0</v>
      </c>
      <c r="B68" s="639" t="s">
        <v>1</v>
      </c>
      <c r="C68" s="639" t="s">
        <v>2569</v>
      </c>
      <c r="D68" s="636" t="s">
        <v>1961</v>
      </c>
      <c r="E68" s="637"/>
      <c r="F68" s="637"/>
      <c r="G68" s="638"/>
      <c r="H68" s="636" t="s">
        <v>3</v>
      </c>
      <c r="I68" s="637"/>
      <c r="J68" s="636" t="s">
        <v>1962</v>
      </c>
      <c r="K68" s="637"/>
      <c r="L68" s="637"/>
      <c r="M68" s="637"/>
    </row>
    <row r="69" spans="1:13" s="152" customFormat="1" ht="34.5" customHeight="1" thickTop="1" thickBot="1" x14ac:dyDescent="0.3">
      <c r="A69" s="661"/>
      <c r="B69" s="661"/>
      <c r="C69" s="661"/>
      <c r="D69" s="493" t="s">
        <v>4</v>
      </c>
      <c r="E69" s="493" t="s">
        <v>5</v>
      </c>
      <c r="F69" s="493" t="s">
        <v>6</v>
      </c>
      <c r="G69" s="493" t="s">
        <v>7</v>
      </c>
      <c r="H69" s="493" t="s">
        <v>2</v>
      </c>
      <c r="I69" s="493" t="s">
        <v>3</v>
      </c>
      <c r="J69" s="493" t="s">
        <v>8</v>
      </c>
      <c r="K69" s="493" t="s">
        <v>9</v>
      </c>
      <c r="L69" s="493" t="s">
        <v>1963</v>
      </c>
      <c r="M69" s="513" t="s">
        <v>1964</v>
      </c>
    </row>
    <row r="70" spans="1:13" s="181" customFormat="1" ht="49.5" customHeight="1" thickTop="1" thickBot="1" x14ac:dyDescent="0.25">
      <c r="A70" s="503" t="s">
        <v>2146</v>
      </c>
      <c r="B70" s="628" t="s">
        <v>2551</v>
      </c>
      <c r="C70" s="503" t="s">
        <v>18</v>
      </c>
      <c r="D70" s="502">
        <v>2</v>
      </c>
      <c r="E70" s="502">
        <v>30</v>
      </c>
      <c r="F70" s="502">
        <v>3</v>
      </c>
      <c r="G70" s="502">
        <v>848</v>
      </c>
      <c r="H70" s="509">
        <v>559980000</v>
      </c>
      <c r="I70" s="504">
        <v>559650000</v>
      </c>
      <c r="J70" s="501" t="s">
        <v>1206</v>
      </c>
      <c r="K70" s="502" t="s">
        <v>20</v>
      </c>
      <c r="L70" s="500">
        <v>568</v>
      </c>
      <c r="M70" s="500">
        <v>568</v>
      </c>
    </row>
    <row r="71" spans="1:13" s="181" customFormat="1" ht="37.5" customHeight="1" thickTop="1" thickBot="1" x14ac:dyDescent="0.25">
      <c r="A71" s="503" t="s">
        <v>2146</v>
      </c>
      <c r="B71" s="628" t="s">
        <v>2551</v>
      </c>
      <c r="C71" s="651" t="s">
        <v>53</v>
      </c>
      <c r="D71" s="502">
        <v>2</v>
      </c>
      <c r="E71" s="502">
        <v>30</v>
      </c>
      <c r="F71" s="502">
        <v>3</v>
      </c>
      <c r="G71" s="502">
        <v>521</v>
      </c>
      <c r="H71" s="509">
        <v>300000000</v>
      </c>
      <c r="I71" s="504">
        <v>200000000</v>
      </c>
      <c r="J71" s="501" t="s">
        <v>1207</v>
      </c>
      <c r="K71" s="502" t="s">
        <v>55</v>
      </c>
      <c r="L71" s="500">
        <v>3</v>
      </c>
      <c r="M71" s="500">
        <v>2</v>
      </c>
    </row>
    <row r="72" spans="1:13" s="181" customFormat="1" ht="39" customHeight="1" thickTop="1" thickBot="1" x14ac:dyDescent="0.25">
      <c r="A72" s="503" t="s">
        <v>2146</v>
      </c>
      <c r="B72" s="628" t="s">
        <v>2551</v>
      </c>
      <c r="C72" s="652"/>
      <c r="D72" s="502">
        <v>2</v>
      </c>
      <c r="E72" s="502">
        <v>30</v>
      </c>
      <c r="F72" s="502">
        <v>3</v>
      </c>
      <c r="G72" s="502">
        <v>521</v>
      </c>
      <c r="H72" s="509">
        <v>100000000</v>
      </c>
      <c r="I72" s="504">
        <v>50000000</v>
      </c>
      <c r="J72" s="501" t="s">
        <v>1208</v>
      </c>
      <c r="K72" s="502" t="s">
        <v>25</v>
      </c>
      <c r="L72" s="500">
        <v>4</v>
      </c>
      <c r="M72" s="500">
        <v>2</v>
      </c>
    </row>
    <row r="73" spans="1:13" s="181" customFormat="1" ht="39" customHeight="1" thickTop="1" thickBot="1" x14ac:dyDescent="0.25">
      <c r="A73" s="503" t="s">
        <v>2146</v>
      </c>
      <c r="B73" s="628" t="s">
        <v>2551</v>
      </c>
      <c r="C73" s="652"/>
      <c r="D73" s="502">
        <v>2</v>
      </c>
      <c r="E73" s="502">
        <v>30</v>
      </c>
      <c r="F73" s="502">
        <v>3</v>
      </c>
      <c r="G73" s="502">
        <v>521</v>
      </c>
      <c r="H73" s="509">
        <v>380000000</v>
      </c>
      <c r="I73" s="504"/>
      <c r="J73" s="501" t="s">
        <v>1209</v>
      </c>
      <c r="K73" s="502" t="s">
        <v>13</v>
      </c>
      <c r="L73" s="500">
        <v>4</v>
      </c>
      <c r="M73" s="500">
        <v>0</v>
      </c>
    </row>
    <row r="74" spans="1:13" s="181" customFormat="1" ht="39" customHeight="1" thickTop="1" thickBot="1" x14ac:dyDescent="0.25">
      <c r="A74" s="503" t="s">
        <v>2146</v>
      </c>
      <c r="B74" s="628" t="s">
        <v>2551</v>
      </c>
      <c r="C74" s="652"/>
      <c r="D74" s="502">
        <v>2</v>
      </c>
      <c r="E74" s="502">
        <v>30</v>
      </c>
      <c r="F74" s="502">
        <v>3</v>
      </c>
      <c r="G74" s="502">
        <v>521</v>
      </c>
      <c r="H74" s="509">
        <v>200000000</v>
      </c>
      <c r="I74" s="504">
        <v>200000000</v>
      </c>
      <c r="J74" s="501" t="s">
        <v>1210</v>
      </c>
      <c r="K74" s="502" t="s">
        <v>55</v>
      </c>
      <c r="L74" s="500">
        <v>23</v>
      </c>
      <c r="M74" s="500">
        <v>23</v>
      </c>
    </row>
    <row r="75" spans="1:13" s="181" customFormat="1" ht="39" customHeight="1" thickTop="1" thickBot="1" x14ac:dyDescent="0.25">
      <c r="A75" s="503" t="s">
        <v>2146</v>
      </c>
      <c r="B75" s="628" t="s">
        <v>2551</v>
      </c>
      <c r="C75" s="652"/>
      <c r="D75" s="502">
        <v>2</v>
      </c>
      <c r="E75" s="502">
        <v>30</v>
      </c>
      <c r="F75" s="502">
        <v>3</v>
      </c>
      <c r="G75" s="502">
        <v>521</v>
      </c>
      <c r="H75" s="509">
        <v>145620000</v>
      </c>
      <c r="I75" s="504">
        <v>24661801</v>
      </c>
      <c r="J75" s="501" t="s">
        <v>1211</v>
      </c>
      <c r="K75" s="502" t="s">
        <v>174</v>
      </c>
      <c r="L75" s="500">
        <v>20</v>
      </c>
      <c r="M75" s="500">
        <v>3</v>
      </c>
    </row>
    <row r="76" spans="1:13" s="181" customFormat="1" ht="39" customHeight="1" thickTop="1" thickBot="1" x14ac:dyDescent="0.25">
      <c r="A76" s="503" t="s">
        <v>2146</v>
      </c>
      <c r="B76" s="628" t="s">
        <v>2551</v>
      </c>
      <c r="C76" s="652"/>
      <c r="D76" s="502">
        <v>2</v>
      </c>
      <c r="E76" s="502">
        <v>30</v>
      </c>
      <c r="F76" s="502">
        <v>3</v>
      </c>
      <c r="G76" s="502">
        <v>521</v>
      </c>
      <c r="H76" s="509">
        <v>145000000</v>
      </c>
      <c r="I76" s="504">
        <v>140000000</v>
      </c>
      <c r="J76" s="501" t="s">
        <v>1212</v>
      </c>
      <c r="K76" s="502" t="s">
        <v>11</v>
      </c>
      <c r="L76" s="500">
        <v>1600</v>
      </c>
      <c r="M76" s="500">
        <v>1550</v>
      </c>
    </row>
    <row r="77" spans="1:13" s="181" customFormat="1" ht="48.75" customHeight="1" thickTop="1" thickBot="1" x14ac:dyDescent="0.25">
      <c r="A77" s="503" t="s">
        <v>2146</v>
      </c>
      <c r="B77" s="628" t="s">
        <v>2551</v>
      </c>
      <c r="C77" s="653"/>
      <c r="D77" s="502">
        <v>3</v>
      </c>
      <c r="E77" s="502">
        <v>30</v>
      </c>
      <c r="F77" s="502">
        <v>3</v>
      </c>
      <c r="G77" s="502">
        <v>580</v>
      </c>
      <c r="H77" s="509">
        <v>36000000</v>
      </c>
      <c r="I77" s="504">
        <v>36000000</v>
      </c>
      <c r="J77" s="501" t="s">
        <v>1213</v>
      </c>
      <c r="K77" s="502" t="s">
        <v>72</v>
      </c>
      <c r="L77" s="500">
        <v>6</v>
      </c>
      <c r="M77" s="500">
        <v>6</v>
      </c>
    </row>
    <row r="78" spans="1:13" s="181" customFormat="1" ht="15.75" customHeight="1" thickTop="1" thickBot="1" x14ac:dyDescent="0.25">
      <c r="A78" s="137"/>
      <c r="B78" s="137"/>
      <c r="C78" s="183"/>
      <c r="D78" s="24"/>
      <c r="E78" s="24"/>
      <c r="F78" s="24"/>
      <c r="G78" s="24"/>
      <c r="H78" s="24"/>
      <c r="I78" s="34"/>
      <c r="J78" s="39"/>
      <c r="K78" s="24"/>
      <c r="L78" s="24"/>
      <c r="M78" s="24"/>
    </row>
    <row r="79" spans="1:13" s="152" customFormat="1" ht="30" customHeight="1" thickTop="1" thickBot="1" x14ac:dyDescent="0.3">
      <c r="A79" s="639" t="s">
        <v>0</v>
      </c>
      <c r="B79" s="639" t="s">
        <v>1</v>
      </c>
      <c r="C79" s="639" t="s">
        <v>2569</v>
      </c>
      <c r="D79" s="636" t="s">
        <v>1961</v>
      </c>
      <c r="E79" s="637"/>
      <c r="F79" s="637"/>
      <c r="G79" s="638"/>
      <c r="H79" s="636" t="s">
        <v>3</v>
      </c>
      <c r="I79" s="637"/>
      <c r="J79" s="636" t="s">
        <v>1962</v>
      </c>
      <c r="K79" s="637"/>
      <c r="L79" s="637"/>
      <c r="M79" s="637"/>
    </row>
    <row r="80" spans="1:13" s="152" customFormat="1" ht="34.5" customHeight="1" thickTop="1" thickBot="1" x14ac:dyDescent="0.3">
      <c r="A80" s="661"/>
      <c r="B80" s="661"/>
      <c r="C80" s="661"/>
      <c r="D80" s="493" t="s">
        <v>4</v>
      </c>
      <c r="E80" s="493" t="s">
        <v>5</v>
      </c>
      <c r="F80" s="493" t="s">
        <v>6</v>
      </c>
      <c r="G80" s="493" t="s">
        <v>7</v>
      </c>
      <c r="H80" s="493" t="s">
        <v>2</v>
      </c>
      <c r="I80" s="493" t="s">
        <v>3</v>
      </c>
      <c r="J80" s="493" t="s">
        <v>8</v>
      </c>
      <c r="K80" s="493" t="s">
        <v>9</v>
      </c>
      <c r="L80" s="493" t="s">
        <v>1963</v>
      </c>
      <c r="M80" s="513" t="s">
        <v>1964</v>
      </c>
    </row>
    <row r="81" spans="1:13" s="181" customFormat="1" ht="46.5" thickTop="1" thickBot="1" x14ac:dyDescent="0.25">
      <c r="A81" s="503" t="s">
        <v>2143</v>
      </c>
      <c r="B81" s="628" t="s">
        <v>2551</v>
      </c>
      <c r="C81" s="503" t="s">
        <v>18</v>
      </c>
      <c r="D81" s="502">
        <v>2</v>
      </c>
      <c r="E81" s="502">
        <v>30</v>
      </c>
      <c r="F81" s="502">
        <v>3</v>
      </c>
      <c r="G81" s="502">
        <v>848</v>
      </c>
      <c r="H81" s="509">
        <v>242540756</v>
      </c>
      <c r="I81" s="504">
        <v>113560000</v>
      </c>
      <c r="J81" s="501" t="s">
        <v>1214</v>
      </c>
      <c r="K81" s="502" t="s">
        <v>20</v>
      </c>
      <c r="L81" s="500">
        <v>118</v>
      </c>
      <c r="M81" s="500">
        <v>55</v>
      </c>
    </row>
    <row r="82" spans="1:13" s="181" customFormat="1" ht="37.5" customHeight="1" thickTop="1" thickBot="1" x14ac:dyDescent="0.25">
      <c r="A82" s="503" t="s">
        <v>2143</v>
      </c>
      <c r="B82" s="628" t="s">
        <v>2551</v>
      </c>
      <c r="C82" s="651" t="s">
        <v>440</v>
      </c>
      <c r="D82" s="502">
        <v>2</v>
      </c>
      <c r="E82" s="502">
        <v>30</v>
      </c>
      <c r="F82" s="502">
        <v>3</v>
      </c>
      <c r="G82" s="502">
        <v>520</v>
      </c>
      <c r="H82" s="509">
        <v>2255490</v>
      </c>
      <c r="I82" s="504"/>
      <c r="J82" s="501" t="s">
        <v>1215</v>
      </c>
      <c r="K82" s="502" t="s">
        <v>81</v>
      </c>
      <c r="L82" s="500">
        <v>1</v>
      </c>
      <c r="M82" s="500">
        <v>0</v>
      </c>
    </row>
    <row r="83" spans="1:13" s="181" customFormat="1" ht="46.5" thickTop="1" thickBot="1" x14ac:dyDescent="0.25">
      <c r="A83" s="503" t="s">
        <v>2143</v>
      </c>
      <c r="B83" s="628" t="s">
        <v>2551</v>
      </c>
      <c r="C83" s="652"/>
      <c r="D83" s="502">
        <v>2</v>
      </c>
      <c r="E83" s="502">
        <v>30</v>
      </c>
      <c r="F83" s="502">
        <v>3</v>
      </c>
      <c r="G83" s="502">
        <v>521</v>
      </c>
      <c r="H83" s="509">
        <v>174616667</v>
      </c>
      <c r="I83" s="504">
        <f>139900000+42181700-8000000</f>
        <v>174081700</v>
      </c>
      <c r="J83" s="501" t="s">
        <v>1216</v>
      </c>
      <c r="K83" s="502" t="s">
        <v>81</v>
      </c>
      <c r="L83" s="500">
        <v>8</v>
      </c>
      <c r="M83" s="500">
        <v>8</v>
      </c>
    </row>
    <row r="84" spans="1:13" s="181" customFormat="1" ht="46.5" thickTop="1" thickBot="1" x14ac:dyDescent="0.25">
      <c r="A84" s="503" t="s">
        <v>2143</v>
      </c>
      <c r="B84" s="628" t="s">
        <v>2551</v>
      </c>
      <c r="C84" s="652"/>
      <c r="D84" s="502">
        <v>2</v>
      </c>
      <c r="E84" s="502">
        <v>30</v>
      </c>
      <c r="F84" s="502">
        <v>3</v>
      </c>
      <c r="G84" s="502">
        <v>521</v>
      </c>
      <c r="H84" s="509">
        <v>70000000</v>
      </c>
      <c r="I84" s="504">
        <f>53855000+8000000</f>
        <v>61855000</v>
      </c>
      <c r="J84" s="501" t="s">
        <v>1217</v>
      </c>
      <c r="K84" s="502" t="s">
        <v>81</v>
      </c>
      <c r="L84" s="500">
        <v>8</v>
      </c>
      <c r="M84" s="500">
        <v>7</v>
      </c>
    </row>
    <row r="85" spans="1:13" s="181" customFormat="1" ht="64.5" customHeight="1" thickTop="1" thickBot="1" x14ac:dyDescent="0.25">
      <c r="A85" s="503" t="s">
        <v>2143</v>
      </c>
      <c r="B85" s="628" t="s">
        <v>2551</v>
      </c>
      <c r="C85" s="653"/>
      <c r="D85" s="502">
        <v>2</v>
      </c>
      <c r="E85" s="502">
        <v>30</v>
      </c>
      <c r="F85" s="502">
        <v>3</v>
      </c>
      <c r="G85" s="502">
        <v>521</v>
      </c>
      <c r="H85" s="509">
        <f>196421306+16868300</f>
        <v>213289606</v>
      </c>
      <c r="I85" s="504">
        <f>177350000+16868300</f>
        <v>194218300</v>
      </c>
      <c r="J85" s="501" t="s">
        <v>1218</v>
      </c>
      <c r="K85" s="502" t="s">
        <v>81</v>
      </c>
      <c r="L85" s="500">
        <v>4</v>
      </c>
      <c r="M85" s="500">
        <v>3.62</v>
      </c>
    </row>
    <row r="86" spans="1:13" s="181" customFormat="1" ht="36.75" customHeight="1" thickTop="1" thickBot="1" x14ac:dyDescent="0.25">
      <c r="A86" s="503" t="s">
        <v>2143</v>
      </c>
      <c r="B86" s="628" t="s">
        <v>2551</v>
      </c>
      <c r="C86" s="503" t="s">
        <v>440</v>
      </c>
      <c r="D86" s="502">
        <v>2</v>
      </c>
      <c r="E86" s="502">
        <v>30</v>
      </c>
      <c r="F86" s="502">
        <v>3</v>
      </c>
      <c r="G86" s="502">
        <v>522</v>
      </c>
      <c r="H86" s="509">
        <v>45000000</v>
      </c>
      <c r="I86" s="504">
        <v>22500000</v>
      </c>
      <c r="J86" s="501" t="s">
        <v>1219</v>
      </c>
      <c r="K86" s="502" t="s">
        <v>81</v>
      </c>
      <c r="L86" s="500">
        <v>2</v>
      </c>
      <c r="M86" s="500">
        <v>1</v>
      </c>
    </row>
    <row r="87" spans="1:13" s="181" customFormat="1" ht="60" customHeight="1" thickTop="1" thickBot="1" x14ac:dyDescent="0.25">
      <c r="A87" s="503" t="s">
        <v>2143</v>
      </c>
      <c r="B87" s="628" t="s">
        <v>2551</v>
      </c>
      <c r="C87" s="503" t="s">
        <v>42</v>
      </c>
      <c r="D87" s="502">
        <v>2</v>
      </c>
      <c r="E87" s="502">
        <v>30</v>
      </c>
      <c r="F87" s="502">
        <v>3</v>
      </c>
      <c r="G87" s="502">
        <v>541</v>
      </c>
      <c r="H87" s="509">
        <v>16868300</v>
      </c>
      <c r="I87" s="504">
        <v>16868300</v>
      </c>
      <c r="J87" s="501" t="s">
        <v>1220</v>
      </c>
      <c r="K87" s="501" t="s">
        <v>2148</v>
      </c>
      <c r="L87" s="500">
        <v>7</v>
      </c>
      <c r="M87" s="500">
        <v>7</v>
      </c>
    </row>
    <row r="88" spans="1:13" s="181" customFormat="1" ht="30.75" customHeight="1" thickTop="1" thickBot="1" x14ac:dyDescent="0.25">
      <c r="A88" s="503" t="s">
        <v>2143</v>
      </c>
      <c r="B88" s="628" t="s">
        <v>2551</v>
      </c>
      <c r="C88" s="651" t="s">
        <v>53</v>
      </c>
      <c r="D88" s="502">
        <v>2</v>
      </c>
      <c r="E88" s="502">
        <v>30</v>
      </c>
      <c r="F88" s="502">
        <v>3</v>
      </c>
      <c r="G88" s="502">
        <v>580</v>
      </c>
      <c r="H88" s="509">
        <v>69000000</v>
      </c>
      <c r="I88" s="504">
        <v>63000000</v>
      </c>
      <c r="J88" s="501" t="s">
        <v>2140</v>
      </c>
      <c r="K88" s="502" t="s">
        <v>85</v>
      </c>
      <c r="L88" s="500">
        <v>3</v>
      </c>
      <c r="M88" s="500">
        <v>3</v>
      </c>
    </row>
    <row r="89" spans="1:13" s="181" customFormat="1" ht="51" customHeight="1" thickTop="1" thickBot="1" x14ac:dyDescent="0.25">
      <c r="A89" s="503" t="s">
        <v>2143</v>
      </c>
      <c r="B89" s="628" t="s">
        <v>2551</v>
      </c>
      <c r="C89" s="653"/>
      <c r="D89" s="502">
        <v>2</v>
      </c>
      <c r="E89" s="502">
        <v>30</v>
      </c>
      <c r="F89" s="502">
        <v>3</v>
      </c>
      <c r="G89" s="502">
        <v>595</v>
      </c>
      <c r="H89" s="509">
        <v>98700000</v>
      </c>
      <c r="I89" s="504">
        <v>78550000</v>
      </c>
      <c r="J89" s="501" t="s">
        <v>1221</v>
      </c>
      <c r="K89" s="502" t="s">
        <v>81</v>
      </c>
      <c r="L89" s="500">
        <v>10</v>
      </c>
      <c r="M89" s="500">
        <v>8</v>
      </c>
    </row>
    <row r="90" spans="1:13" s="181" customFormat="1" ht="48.75" customHeight="1" thickTop="1" thickBot="1" x14ac:dyDescent="0.25">
      <c r="A90" s="503" t="s">
        <v>2143</v>
      </c>
      <c r="B90" s="628" t="s">
        <v>2551</v>
      </c>
      <c r="C90" s="503" t="s">
        <v>18</v>
      </c>
      <c r="D90" s="502">
        <v>2</v>
      </c>
      <c r="E90" s="502">
        <v>30</v>
      </c>
      <c r="F90" s="502">
        <v>3</v>
      </c>
      <c r="G90" s="502">
        <v>962</v>
      </c>
      <c r="H90" s="509">
        <v>53057842</v>
      </c>
      <c r="I90" s="504">
        <v>53057842</v>
      </c>
      <c r="J90" s="501" t="s">
        <v>1222</v>
      </c>
      <c r="K90" s="502" t="s">
        <v>16</v>
      </c>
      <c r="L90" s="500">
        <v>2</v>
      </c>
      <c r="M90" s="500">
        <v>2</v>
      </c>
    </row>
    <row r="91" spans="1:13" s="181" customFormat="1" ht="18" customHeight="1" thickTop="1" thickBot="1" x14ac:dyDescent="0.25">
      <c r="A91" s="137"/>
      <c r="B91" s="137"/>
      <c r="C91" s="183"/>
      <c r="D91" s="24"/>
      <c r="E91" s="174"/>
      <c r="F91" s="174"/>
      <c r="G91" s="24"/>
      <c r="H91" s="174"/>
      <c r="I91" s="182"/>
      <c r="J91" s="39"/>
      <c r="K91" s="24"/>
      <c r="L91" s="24"/>
      <c r="M91" s="24"/>
    </row>
    <row r="92" spans="1:13" s="152" customFormat="1" ht="30" customHeight="1" thickTop="1" thickBot="1" x14ac:dyDescent="0.3">
      <c r="A92" s="639" t="s">
        <v>0</v>
      </c>
      <c r="B92" s="639" t="s">
        <v>1</v>
      </c>
      <c r="C92" s="639" t="s">
        <v>2569</v>
      </c>
      <c r="D92" s="636" t="s">
        <v>1961</v>
      </c>
      <c r="E92" s="637"/>
      <c r="F92" s="637"/>
      <c r="G92" s="638"/>
      <c r="H92" s="636" t="s">
        <v>3</v>
      </c>
      <c r="I92" s="637"/>
      <c r="J92" s="636" t="s">
        <v>1962</v>
      </c>
      <c r="K92" s="637"/>
      <c r="L92" s="637"/>
      <c r="M92" s="637"/>
    </row>
    <row r="93" spans="1:13" s="152" customFormat="1" ht="34.5" customHeight="1" thickTop="1" thickBot="1" x14ac:dyDescent="0.3">
      <c r="A93" s="661"/>
      <c r="B93" s="661"/>
      <c r="C93" s="661"/>
      <c r="D93" s="493" t="s">
        <v>4</v>
      </c>
      <c r="E93" s="493" t="s">
        <v>5</v>
      </c>
      <c r="F93" s="493" t="s">
        <v>6</v>
      </c>
      <c r="G93" s="493" t="s">
        <v>7</v>
      </c>
      <c r="H93" s="493" t="s">
        <v>2</v>
      </c>
      <c r="I93" s="493" t="s">
        <v>3</v>
      </c>
      <c r="J93" s="493" t="s">
        <v>8</v>
      </c>
      <c r="K93" s="493" t="s">
        <v>9</v>
      </c>
      <c r="L93" s="493" t="s">
        <v>1963</v>
      </c>
      <c r="M93" s="513" t="s">
        <v>1964</v>
      </c>
    </row>
    <row r="94" spans="1:13" s="181" customFormat="1" ht="46.5" thickTop="1" thickBot="1" x14ac:dyDescent="0.25">
      <c r="A94" s="503" t="s">
        <v>1336</v>
      </c>
      <c r="B94" s="628" t="s">
        <v>2551</v>
      </c>
      <c r="C94" s="503" t="s">
        <v>18</v>
      </c>
      <c r="D94" s="502">
        <v>3</v>
      </c>
      <c r="E94" s="502">
        <v>30</v>
      </c>
      <c r="F94" s="502">
        <v>3</v>
      </c>
      <c r="G94" s="502">
        <v>848</v>
      </c>
      <c r="H94" s="509">
        <v>482592949</v>
      </c>
      <c r="I94" s="504">
        <v>301210000</v>
      </c>
      <c r="J94" s="501" t="s">
        <v>1223</v>
      </c>
      <c r="K94" s="502" t="s">
        <v>20</v>
      </c>
      <c r="L94" s="500">
        <v>250</v>
      </c>
      <c r="M94" s="500">
        <v>250</v>
      </c>
    </row>
    <row r="95" spans="1:13" s="181" customFormat="1" ht="37.5" customHeight="1" thickTop="1" thickBot="1" x14ac:dyDescent="0.25">
      <c r="A95" s="503" t="s">
        <v>1336</v>
      </c>
      <c r="B95" s="628" t="s">
        <v>2551</v>
      </c>
      <c r="C95" s="654" t="s">
        <v>53</v>
      </c>
      <c r="D95" s="502">
        <v>3</v>
      </c>
      <c r="E95" s="502">
        <v>30</v>
      </c>
      <c r="F95" s="502">
        <v>3</v>
      </c>
      <c r="G95" s="502">
        <v>520</v>
      </c>
      <c r="H95" s="509">
        <v>182300000</v>
      </c>
      <c r="I95" s="504">
        <v>182300000</v>
      </c>
      <c r="J95" s="501" t="s">
        <v>1224</v>
      </c>
      <c r="K95" s="502" t="s">
        <v>55</v>
      </c>
      <c r="L95" s="500">
        <v>3</v>
      </c>
      <c r="M95" s="500">
        <v>3</v>
      </c>
    </row>
    <row r="96" spans="1:13" s="181" customFormat="1" ht="29.25" customHeight="1" thickTop="1" thickBot="1" x14ac:dyDescent="0.25">
      <c r="A96" s="503" t="s">
        <v>1336</v>
      </c>
      <c r="B96" s="628" t="s">
        <v>2551</v>
      </c>
      <c r="C96" s="654"/>
      <c r="D96" s="502">
        <v>3</v>
      </c>
      <c r="E96" s="502">
        <v>30</v>
      </c>
      <c r="F96" s="502">
        <v>3</v>
      </c>
      <c r="G96" s="502">
        <v>520</v>
      </c>
      <c r="H96" s="509">
        <v>68500000</v>
      </c>
      <c r="I96" s="504">
        <v>68500000</v>
      </c>
      <c r="J96" s="501" t="s">
        <v>1225</v>
      </c>
      <c r="K96" s="502" t="s">
        <v>13</v>
      </c>
      <c r="L96" s="500">
        <v>1</v>
      </c>
      <c r="M96" s="500">
        <v>1</v>
      </c>
    </row>
    <row r="97" spans="1:13" s="181" customFormat="1" ht="29.25" customHeight="1" thickTop="1" thickBot="1" x14ac:dyDescent="0.25">
      <c r="A97" s="503" t="s">
        <v>1336</v>
      </c>
      <c r="B97" s="628" t="s">
        <v>2551</v>
      </c>
      <c r="C97" s="654"/>
      <c r="D97" s="502">
        <v>3</v>
      </c>
      <c r="E97" s="502">
        <v>30</v>
      </c>
      <c r="F97" s="502">
        <v>3</v>
      </c>
      <c r="G97" s="502">
        <v>520</v>
      </c>
      <c r="H97" s="509">
        <v>120000000</v>
      </c>
      <c r="I97" s="504">
        <v>120000000</v>
      </c>
      <c r="J97" s="501" t="s">
        <v>1226</v>
      </c>
      <c r="K97" s="502" t="s">
        <v>55</v>
      </c>
      <c r="L97" s="500">
        <v>1</v>
      </c>
      <c r="M97" s="500">
        <v>1</v>
      </c>
    </row>
    <row r="98" spans="1:13" s="181" customFormat="1" ht="36" customHeight="1" thickTop="1" thickBot="1" x14ac:dyDescent="0.25">
      <c r="A98" s="503" t="s">
        <v>1336</v>
      </c>
      <c r="B98" s="628" t="s">
        <v>2551</v>
      </c>
      <c r="C98" s="654"/>
      <c r="D98" s="502">
        <v>3</v>
      </c>
      <c r="E98" s="502">
        <v>30</v>
      </c>
      <c r="F98" s="502">
        <v>3</v>
      </c>
      <c r="G98" s="502">
        <v>520</v>
      </c>
      <c r="H98" s="509">
        <v>220250220</v>
      </c>
      <c r="I98" s="504">
        <v>0</v>
      </c>
      <c r="J98" s="501" t="s">
        <v>1227</v>
      </c>
      <c r="K98" s="502" t="s">
        <v>55</v>
      </c>
      <c r="L98" s="500">
        <v>2</v>
      </c>
      <c r="M98" s="500">
        <v>0</v>
      </c>
    </row>
    <row r="99" spans="1:13" s="181" customFormat="1" ht="30" customHeight="1" thickTop="1" thickBot="1" x14ac:dyDescent="0.25">
      <c r="A99" s="503" t="s">
        <v>1336</v>
      </c>
      <c r="B99" s="628" t="s">
        <v>2551</v>
      </c>
      <c r="C99" s="654"/>
      <c r="D99" s="502">
        <v>3</v>
      </c>
      <c r="E99" s="502">
        <v>30</v>
      </c>
      <c r="F99" s="502">
        <v>3</v>
      </c>
      <c r="G99" s="502">
        <v>520</v>
      </c>
      <c r="H99" s="509">
        <v>80000000</v>
      </c>
      <c r="I99" s="504">
        <v>0</v>
      </c>
      <c r="J99" s="501" t="s">
        <v>1228</v>
      </c>
      <c r="K99" s="502" t="s">
        <v>55</v>
      </c>
      <c r="L99" s="500">
        <v>2</v>
      </c>
      <c r="M99" s="500">
        <v>0</v>
      </c>
    </row>
    <row r="100" spans="1:13" s="181" customFormat="1" ht="38.25" customHeight="1" thickTop="1" thickBot="1" x14ac:dyDescent="0.25">
      <c r="A100" s="503" t="s">
        <v>1336</v>
      </c>
      <c r="B100" s="628" t="s">
        <v>2551</v>
      </c>
      <c r="C100" s="654"/>
      <c r="D100" s="502">
        <v>3</v>
      </c>
      <c r="E100" s="502">
        <v>30</v>
      </c>
      <c r="F100" s="502">
        <v>3</v>
      </c>
      <c r="G100" s="502">
        <v>520</v>
      </c>
      <c r="H100" s="509">
        <v>125000000</v>
      </c>
      <c r="I100" s="504">
        <v>0</v>
      </c>
      <c r="J100" s="501" t="s">
        <v>1229</v>
      </c>
      <c r="K100" s="502" t="s">
        <v>410</v>
      </c>
      <c r="L100" s="500">
        <v>1</v>
      </c>
      <c r="M100" s="500">
        <v>0</v>
      </c>
    </row>
    <row r="101" spans="1:13" s="181" customFormat="1" ht="38.25" customHeight="1" thickTop="1" thickBot="1" x14ac:dyDescent="0.25">
      <c r="A101" s="503" t="s">
        <v>1336</v>
      </c>
      <c r="B101" s="628" t="s">
        <v>2551</v>
      </c>
      <c r="C101" s="654"/>
      <c r="D101" s="502">
        <v>3</v>
      </c>
      <c r="E101" s="502">
        <v>30</v>
      </c>
      <c r="F101" s="502">
        <v>3</v>
      </c>
      <c r="G101" s="502">
        <v>520</v>
      </c>
      <c r="H101" s="509">
        <v>130000000</v>
      </c>
      <c r="I101" s="504">
        <v>0</v>
      </c>
      <c r="J101" s="501" t="s">
        <v>1230</v>
      </c>
      <c r="K101" s="502" t="s">
        <v>25</v>
      </c>
      <c r="L101" s="500">
        <v>3</v>
      </c>
      <c r="M101" s="500">
        <v>0</v>
      </c>
    </row>
    <row r="102" spans="1:13" s="181" customFormat="1" ht="38.25" customHeight="1" thickTop="1" thickBot="1" x14ac:dyDescent="0.25">
      <c r="A102" s="503" t="s">
        <v>1336</v>
      </c>
      <c r="B102" s="628" t="s">
        <v>2551</v>
      </c>
      <c r="C102" s="654"/>
      <c r="D102" s="502">
        <v>3</v>
      </c>
      <c r="E102" s="502">
        <v>30</v>
      </c>
      <c r="F102" s="502">
        <v>3</v>
      </c>
      <c r="G102" s="502">
        <v>520</v>
      </c>
      <c r="H102" s="509">
        <v>100000000</v>
      </c>
      <c r="I102" s="504">
        <v>0</v>
      </c>
      <c r="J102" s="501" t="s">
        <v>1231</v>
      </c>
      <c r="K102" s="502" t="s">
        <v>55</v>
      </c>
      <c r="L102" s="500">
        <v>1</v>
      </c>
      <c r="M102" s="500">
        <v>0</v>
      </c>
    </row>
    <row r="103" spans="1:13" s="181" customFormat="1" ht="38.25" customHeight="1" thickTop="1" thickBot="1" x14ac:dyDescent="0.25">
      <c r="A103" s="503" t="s">
        <v>1336</v>
      </c>
      <c r="B103" s="628" t="s">
        <v>2551</v>
      </c>
      <c r="C103" s="654"/>
      <c r="D103" s="502">
        <v>3</v>
      </c>
      <c r="E103" s="502">
        <v>30</v>
      </c>
      <c r="F103" s="502">
        <v>3</v>
      </c>
      <c r="G103" s="502">
        <v>520</v>
      </c>
      <c r="H103" s="509">
        <v>100000000</v>
      </c>
      <c r="I103" s="504">
        <v>0</v>
      </c>
      <c r="J103" s="501" t="s">
        <v>1232</v>
      </c>
      <c r="K103" s="502" t="s">
        <v>410</v>
      </c>
      <c r="L103" s="500">
        <v>1</v>
      </c>
      <c r="M103" s="500">
        <v>0</v>
      </c>
    </row>
    <row r="104" spans="1:13" s="181" customFormat="1" ht="15" customHeight="1" thickTop="1" thickBot="1" x14ac:dyDescent="0.25">
      <c r="A104" s="436"/>
      <c r="B104" s="436"/>
      <c r="C104" s="158"/>
      <c r="D104" s="165"/>
      <c r="E104" s="165"/>
      <c r="F104" s="165"/>
      <c r="G104" s="165"/>
      <c r="H104" s="164"/>
      <c r="I104" s="486"/>
      <c r="J104" s="525"/>
      <c r="K104" s="165"/>
      <c r="L104" s="164"/>
      <c r="M104" s="164"/>
    </row>
    <row r="105" spans="1:13" s="152" customFormat="1" ht="30" customHeight="1" thickTop="1" thickBot="1" x14ac:dyDescent="0.3">
      <c r="A105" s="639" t="s">
        <v>0</v>
      </c>
      <c r="B105" s="639" t="s">
        <v>1</v>
      </c>
      <c r="C105" s="639" t="s">
        <v>2569</v>
      </c>
      <c r="D105" s="636" t="s">
        <v>1961</v>
      </c>
      <c r="E105" s="637"/>
      <c r="F105" s="637"/>
      <c r="G105" s="638"/>
      <c r="H105" s="636" t="s">
        <v>3</v>
      </c>
      <c r="I105" s="637"/>
      <c r="J105" s="636" t="s">
        <v>1962</v>
      </c>
      <c r="K105" s="637"/>
      <c r="L105" s="637"/>
      <c r="M105" s="637"/>
    </row>
    <row r="106" spans="1:13" s="152" customFormat="1" ht="34.5" customHeight="1" thickTop="1" thickBot="1" x14ac:dyDescent="0.3">
      <c r="A106" s="661"/>
      <c r="B106" s="661"/>
      <c r="C106" s="661"/>
      <c r="D106" s="493" t="s">
        <v>4</v>
      </c>
      <c r="E106" s="493" t="s">
        <v>5</v>
      </c>
      <c r="F106" s="493" t="s">
        <v>6</v>
      </c>
      <c r="G106" s="493" t="s">
        <v>7</v>
      </c>
      <c r="H106" s="493" t="s">
        <v>2</v>
      </c>
      <c r="I106" s="493" t="s">
        <v>3</v>
      </c>
      <c r="J106" s="493" t="s">
        <v>8</v>
      </c>
      <c r="K106" s="493" t="s">
        <v>9</v>
      </c>
      <c r="L106" s="493" t="s">
        <v>1963</v>
      </c>
      <c r="M106" s="513" t="s">
        <v>1964</v>
      </c>
    </row>
    <row r="107" spans="1:13" s="181" customFormat="1" ht="49.5" customHeight="1" thickTop="1" thickBot="1" x14ac:dyDescent="0.25">
      <c r="A107" s="503" t="s">
        <v>2552</v>
      </c>
      <c r="B107" s="503" t="s">
        <v>2551</v>
      </c>
      <c r="C107" s="503" t="s">
        <v>18</v>
      </c>
      <c r="D107" s="502">
        <v>2</v>
      </c>
      <c r="E107" s="502">
        <v>30</v>
      </c>
      <c r="F107" s="502">
        <v>3</v>
      </c>
      <c r="G107" s="502">
        <v>848</v>
      </c>
      <c r="H107" s="509">
        <v>245566899</v>
      </c>
      <c r="I107" s="504">
        <v>185459000</v>
      </c>
      <c r="J107" s="501" t="s">
        <v>1233</v>
      </c>
      <c r="K107" s="502" t="s">
        <v>20</v>
      </c>
      <c r="L107" s="500">
        <v>150</v>
      </c>
      <c r="M107" s="500">
        <v>114</v>
      </c>
    </row>
    <row r="108" spans="1:13" s="181" customFormat="1" ht="49.5" customHeight="1" thickTop="1" thickBot="1" x14ac:dyDescent="0.25">
      <c r="A108" s="628" t="s">
        <v>2552</v>
      </c>
      <c r="B108" s="628" t="s">
        <v>2551</v>
      </c>
      <c r="C108" s="654" t="s">
        <v>53</v>
      </c>
      <c r="D108" s="502">
        <v>2</v>
      </c>
      <c r="E108" s="463">
        <v>30</v>
      </c>
      <c r="F108" s="463">
        <v>3</v>
      </c>
      <c r="G108" s="502">
        <v>520</v>
      </c>
      <c r="H108" s="509">
        <f>362221561+116279935-36500000</f>
        <v>442001496</v>
      </c>
      <c r="I108" s="504">
        <v>100097000</v>
      </c>
      <c r="J108" s="508" t="s">
        <v>1234</v>
      </c>
      <c r="K108" s="502" t="s">
        <v>13</v>
      </c>
      <c r="L108" s="502">
        <v>10</v>
      </c>
      <c r="M108" s="502">
        <v>2.2999999999999998</v>
      </c>
    </row>
    <row r="109" spans="1:13" s="181" customFormat="1" ht="36.75" customHeight="1" thickTop="1" thickBot="1" x14ac:dyDescent="0.25">
      <c r="A109" s="628" t="s">
        <v>2552</v>
      </c>
      <c r="B109" s="628" t="s">
        <v>2551</v>
      </c>
      <c r="C109" s="654"/>
      <c r="D109" s="502">
        <v>2</v>
      </c>
      <c r="E109" s="463">
        <v>30</v>
      </c>
      <c r="F109" s="463">
        <v>3</v>
      </c>
      <c r="G109" s="502">
        <v>520</v>
      </c>
      <c r="H109" s="509">
        <f>171223140+29069984</f>
        <v>200293124</v>
      </c>
      <c r="I109" s="504">
        <v>188000000</v>
      </c>
      <c r="J109" s="508" t="s">
        <v>1235</v>
      </c>
      <c r="K109" s="502" t="s">
        <v>13</v>
      </c>
      <c r="L109" s="502">
        <v>5</v>
      </c>
      <c r="M109" s="502">
        <v>4.7</v>
      </c>
    </row>
    <row r="110" spans="1:13" s="181" customFormat="1" ht="48" customHeight="1" thickTop="1" thickBot="1" x14ac:dyDescent="0.25">
      <c r="A110" s="628" t="s">
        <v>2552</v>
      </c>
      <c r="B110" s="628" t="s">
        <v>2551</v>
      </c>
      <c r="C110" s="654" t="s">
        <v>105</v>
      </c>
      <c r="D110" s="502">
        <v>2</v>
      </c>
      <c r="E110" s="463">
        <v>30</v>
      </c>
      <c r="F110" s="463">
        <v>3</v>
      </c>
      <c r="G110" s="502">
        <v>530</v>
      </c>
      <c r="H110" s="509">
        <v>0</v>
      </c>
      <c r="I110" s="504">
        <v>0</v>
      </c>
      <c r="J110" s="508" t="s">
        <v>1236</v>
      </c>
      <c r="K110" s="501" t="s">
        <v>2148</v>
      </c>
      <c r="L110" s="502">
        <v>8</v>
      </c>
      <c r="M110" s="502">
        <v>0</v>
      </c>
    </row>
    <row r="111" spans="1:13" s="181" customFormat="1" ht="48" customHeight="1" thickTop="1" thickBot="1" x14ac:dyDescent="0.25">
      <c r="A111" s="628" t="s">
        <v>2552</v>
      </c>
      <c r="B111" s="628" t="s">
        <v>2551</v>
      </c>
      <c r="C111" s="654"/>
      <c r="D111" s="502">
        <v>2</v>
      </c>
      <c r="E111" s="463">
        <v>30</v>
      </c>
      <c r="F111" s="463">
        <v>3</v>
      </c>
      <c r="G111" s="502">
        <v>534</v>
      </c>
      <c r="H111" s="509">
        <v>13350000</v>
      </c>
      <c r="I111" s="504">
        <v>13338700</v>
      </c>
      <c r="J111" s="508" t="s">
        <v>1237</v>
      </c>
      <c r="K111" s="502" t="s">
        <v>17</v>
      </c>
      <c r="L111" s="502">
        <v>8</v>
      </c>
      <c r="M111" s="502">
        <v>8</v>
      </c>
    </row>
    <row r="112" spans="1:13" s="181" customFormat="1" ht="48" customHeight="1" thickTop="1" thickBot="1" x14ac:dyDescent="0.25">
      <c r="A112" s="628" t="s">
        <v>2552</v>
      </c>
      <c r="B112" s="628" t="s">
        <v>2551</v>
      </c>
      <c r="C112" s="654" t="s">
        <v>105</v>
      </c>
      <c r="D112" s="502">
        <v>2</v>
      </c>
      <c r="E112" s="463">
        <v>30</v>
      </c>
      <c r="F112" s="463">
        <v>3</v>
      </c>
      <c r="G112" s="502">
        <v>540</v>
      </c>
      <c r="H112" s="509">
        <v>0</v>
      </c>
      <c r="I112" s="504">
        <v>0</v>
      </c>
      <c r="J112" s="508" t="s">
        <v>1238</v>
      </c>
      <c r="K112" s="459" t="s">
        <v>383</v>
      </c>
      <c r="L112" s="502">
        <v>8</v>
      </c>
      <c r="M112" s="502">
        <v>0</v>
      </c>
    </row>
    <row r="113" spans="1:13" s="181" customFormat="1" ht="39" customHeight="1" thickTop="1" thickBot="1" x14ac:dyDescent="0.25">
      <c r="A113" s="628" t="s">
        <v>2552</v>
      </c>
      <c r="B113" s="628" t="s">
        <v>2551</v>
      </c>
      <c r="C113" s="654"/>
      <c r="D113" s="502">
        <v>2</v>
      </c>
      <c r="E113" s="463">
        <v>30</v>
      </c>
      <c r="F113" s="463">
        <v>3</v>
      </c>
      <c r="G113" s="502">
        <v>541</v>
      </c>
      <c r="H113" s="509">
        <v>28800000</v>
      </c>
      <c r="I113" s="504">
        <v>28675000</v>
      </c>
      <c r="J113" s="508" t="s">
        <v>1239</v>
      </c>
      <c r="K113" s="502" t="s">
        <v>17</v>
      </c>
      <c r="L113" s="502">
        <v>8</v>
      </c>
      <c r="M113" s="502">
        <v>8</v>
      </c>
    </row>
    <row r="114" spans="1:13" s="181" customFormat="1" ht="39" customHeight="1" thickTop="1" thickBot="1" x14ac:dyDescent="0.25">
      <c r="A114" s="628" t="s">
        <v>2552</v>
      </c>
      <c r="B114" s="628" t="s">
        <v>2551</v>
      </c>
      <c r="C114" s="654"/>
      <c r="D114" s="502">
        <v>2</v>
      </c>
      <c r="E114" s="463">
        <v>30</v>
      </c>
      <c r="F114" s="463">
        <v>3</v>
      </c>
      <c r="G114" s="502">
        <v>542</v>
      </c>
      <c r="H114" s="509">
        <v>6950000</v>
      </c>
      <c r="I114" s="504">
        <v>6950000</v>
      </c>
      <c r="J114" s="508" t="s">
        <v>1240</v>
      </c>
      <c r="K114" s="502" t="s">
        <v>17</v>
      </c>
      <c r="L114" s="502">
        <v>1</v>
      </c>
      <c r="M114" s="502">
        <v>1</v>
      </c>
    </row>
    <row r="115" spans="1:13" s="181" customFormat="1" ht="39" customHeight="1" thickTop="1" thickBot="1" x14ac:dyDescent="0.25">
      <c r="A115" s="628" t="s">
        <v>2552</v>
      </c>
      <c r="B115" s="628" t="s">
        <v>2551</v>
      </c>
      <c r="C115" s="654"/>
      <c r="D115" s="502">
        <v>2</v>
      </c>
      <c r="E115" s="463">
        <v>30</v>
      </c>
      <c r="F115" s="463">
        <v>3</v>
      </c>
      <c r="G115" s="502">
        <v>543</v>
      </c>
      <c r="H115" s="509">
        <v>22500000</v>
      </c>
      <c r="I115" s="504">
        <v>22500000</v>
      </c>
      <c r="J115" s="508" t="s">
        <v>1241</v>
      </c>
      <c r="K115" s="502" t="s">
        <v>17</v>
      </c>
      <c r="L115" s="502">
        <v>7</v>
      </c>
      <c r="M115" s="502">
        <v>7</v>
      </c>
    </row>
    <row r="116" spans="1:13" s="181" customFormat="1" ht="45.75" customHeight="1" thickTop="1" thickBot="1" x14ac:dyDescent="0.25">
      <c r="A116" s="628" t="s">
        <v>2552</v>
      </c>
      <c r="B116" s="628" t="s">
        <v>2551</v>
      </c>
      <c r="C116" s="503" t="s">
        <v>53</v>
      </c>
      <c r="D116" s="502">
        <v>2</v>
      </c>
      <c r="E116" s="463">
        <v>30</v>
      </c>
      <c r="F116" s="463">
        <v>3</v>
      </c>
      <c r="G116" s="502">
        <v>580</v>
      </c>
      <c r="H116" s="509">
        <v>26000000</v>
      </c>
      <c r="I116" s="504">
        <v>26000000</v>
      </c>
      <c r="J116" s="508" t="s">
        <v>1242</v>
      </c>
      <c r="K116" s="502" t="s">
        <v>72</v>
      </c>
      <c r="L116" s="502">
        <v>2</v>
      </c>
      <c r="M116" s="502">
        <v>2</v>
      </c>
    </row>
    <row r="117" spans="1:13" s="181" customFormat="1" ht="39" customHeight="1" thickTop="1" thickBot="1" x14ac:dyDescent="0.25">
      <c r="A117" s="628" t="s">
        <v>2552</v>
      </c>
      <c r="B117" s="628" t="s">
        <v>2551</v>
      </c>
      <c r="C117" s="654" t="s">
        <v>18</v>
      </c>
      <c r="D117" s="502">
        <v>2</v>
      </c>
      <c r="E117" s="463">
        <v>30</v>
      </c>
      <c r="F117" s="463">
        <v>3</v>
      </c>
      <c r="G117" s="502">
        <v>962</v>
      </c>
      <c r="H117" s="509">
        <v>85137498</v>
      </c>
      <c r="I117" s="504">
        <v>0</v>
      </c>
      <c r="J117" s="508" t="s">
        <v>1243</v>
      </c>
      <c r="K117" s="502" t="s">
        <v>16</v>
      </c>
      <c r="L117" s="502">
        <v>1</v>
      </c>
      <c r="M117" s="502">
        <v>0</v>
      </c>
    </row>
    <row r="118" spans="1:13" s="181" customFormat="1" ht="37.5" customHeight="1" thickTop="1" thickBot="1" x14ac:dyDescent="0.25">
      <c r="A118" s="628" t="s">
        <v>2552</v>
      </c>
      <c r="B118" s="628" t="s">
        <v>2551</v>
      </c>
      <c r="C118" s="654"/>
      <c r="D118" s="502">
        <v>2</v>
      </c>
      <c r="E118" s="463">
        <v>30</v>
      </c>
      <c r="F118" s="463">
        <v>3</v>
      </c>
      <c r="G118" s="502">
        <v>985</v>
      </c>
      <c r="H118" s="509">
        <v>31749000</v>
      </c>
      <c r="I118" s="504">
        <v>7600000</v>
      </c>
      <c r="J118" s="508" t="s">
        <v>1244</v>
      </c>
      <c r="K118" s="502" t="s">
        <v>16</v>
      </c>
      <c r="L118" s="502">
        <v>5</v>
      </c>
      <c r="M118" s="502">
        <v>1.2</v>
      </c>
    </row>
    <row r="119" spans="1:13" s="181" customFormat="1" ht="16.5" customHeight="1" thickTop="1" thickBot="1" x14ac:dyDescent="0.25">
      <c r="A119" s="526"/>
      <c r="B119" s="526"/>
      <c r="C119" s="184"/>
      <c r="D119" s="157"/>
      <c r="E119" s="527"/>
      <c r="F119" s="527"/>
      <c r="G119" s="157"/>
      <c r="H119" s="527"/>
      <c r="I119" s="528"/>
      <c r="J119" s="529"/>
      <c r="K119" s="157"/>
      <c r="L119" s="157"/>
      <c r="M119" s="157"/>
    </row>
    <row r="120" spans="1:13" s="152" customFormat="1" ht="30" customHeight="1" thickTop="1" thickBot="1" x14ac:dyDescent="0.3">
      <c r="A120" s="639" t="s">
        <v>0</v>
      </c>
      <c r="B120" s="639" t="s">
        <v>1</v>
      </c>
      <c r="C120" s="639" t="s">
        <v>2569</v>
      </c>
      <c r="D120" s="636" t="s">
        <v>1961</v>
      </c>
      <c r="E120" s="637"/>
      <c r="F120" s="637"/>
      <c r="G120" s="638"/>
      <c r="H120" s="636" t="s">
        <v>3</v>
      </c>
      <c r="I120" s="637"/>
      <c r="J120" s="636" t="s">
        <v>1962</v>
      </c>
      <c r="K120" s="637"/>
      <c r="L120" s="637"/>
      <c r="M120" s="637"/>
    </row>
    <row r="121" spans="1:13" s="152" customFormat="1" ht="34.5" customHeight="1" thickTop="1" thickBot="1" x14ac:dyDescent="0.3">
      <c r="A121" s="661"/>
      <c r="B121" s="661"/>
      <c r="C121" s="661"/>
      <c r="D121" s="493" t="s">
        <v>4</v>
      </c>
      <c r="E121" s="493" t="s">
        <v>5</v>
      </c>
      <c r="F121" s="493" t="s">
        <v>6</v>
      </c>
      <c r="G121" s="493" t="s">
        <v>7</v>
      </c>
      <c r="H121" s="493" t="s">
        <v>2</v>
      </c>
      <c r="I121" s="493" t="s">
        <v>3</v>
      </c>
      <c r="J121" s="493" t="s">
        <v>8</v>
      </c>
      <c r="K121" s="493" t="s">
        <v>9</v>
      </c>
      <c r="L121" s="493" t="s">
        <v>1963</v>
      </c>
      <c r="M121" s="513" t="s">
        <v>1964</v>
      </c>
    </row>
    <row r="122" spans="1:13" s="184" customFormat="1" ht="48.75" customHeight="1" thickTop="1" thickBot="1" x14ac:dyDescent="0.3">
      <c r="A122" s="503" t="s">
        <v>1337</v>
      </c>
      <c r="B122" s="628" t="s">
        <v>2551</v>
      </c>
      <c r="C122" s="503" t="s">
        <v>723</v>
      </c>
      <c r="D122" s="502">
        <v>3</v>
      </c>
      <c r="E122" s="463">
        <v>30</v>
      </c>
      <c r="F122" s="463">
        <v>3</v>
      </c>
      <c r="G122" s="502">
        <v>848</v>
      </c>
      <c r="H122" s="509">
        <v>449024769</v>
      </c>
      <c r="I122" s="504">
        <v>341952000</v>
      </c>
      <c r="J122" s="508" t="s">
        <v>1338</v>
      </c>
      <c r="K122" s="502" t="s">
        <v>20</v>
      </c>
      <c r="L122" s="502">
        <v>541</v>
      </c>
      <c r="M122" s="502">
        <v>410</v>
      </c>
    </row>
    <row r="123" spans="1:13" s="184" customFormat="1" ht="30" customHeight="1" thickTop="1" thickBot="1" x14ac:dyDescent="0.3">
      <c r="A123" s="503" t="s">
        <v>1337</v>
      </c>
      <c r="B123" s="628" t="s">
        <v>2551</v>
      </c>
      <c r="C123" s="654" t="s">
        <v>300</v>
      </c>
      <c r="D123" s="503">
        <v>3</v>
      </c>
      <c r="E123" s="503">
        <v>30</v>
      </c>
      <c r="F123" s="503">
        <v>3</v>
      </c>
      <c r="G123" s="503">
        <v>520</v>
      </c>
      <c r="H123" s="509">
        <v>280000000</v>
      </c>
      <c r="I123" s="504">
        <v>60000000</v>
      </c>
      <c r="J123" s="508" t="s">
        <v>1339</v>
      </c>
      <c r="K123" s="503" t="s">
        <v>410</v>
      </c>
      <c r="L123" s="503">
        <v>2</v>
      </c>
      <c r="M123" s="503">
        <v>1</v>
      </c>
    </row>
    <row r="124" spans="1:13" s="184" customFormat="1" ht="40.5" customHeight="1" thickTop="1" thickBot="1" x14ac:dyDescent="0.3">
      <c r="A124" s="503" t="s">
        <v>1337</v>
      </c>
      <c r="B124" s="628" t="s">
        <v>2551</v>
      </c>
      <c r="C124" s="654"/>
      <c r="D124" s="503">
        <v>3</v>
      </c>
      <c r="E124" s="503">
        <v>30</v>
      </c>
      <c r="F124" s="503">
        <v>3</v>
      </c>
      <c r="G124" s="503">
        <v>520</v>
      </c>
      <c r="H124" s="509">
        <v>161189462</v>
      </c>
      <c r="I124" s="504">
        <v>30010000</v>
      </c>
      <c r="J124" s="508" t="s">
        <v>1340</v>
      </c>
      <c r="K124" s="503" t="s">
        <v>2141</v>
      </c>
      <c r="L124" s="503">
        <v>880</v>
      </c>
      <c r="M124" s="503">
        <v>170</v>
      </c>
    </row>
    <row r="125" spans="1:13" s="184" customFormat="1" ht="30.75" customHeight="1" thickTop="1" thickBot="1" x14ac:dyDescent="0.3">
      <c r="A125" s="503" t="s">
        <v>1337</v>
      </c>
      <c r="B125" s="628" t="s">
        <v>2551</v>
      </c>
      <c r="C125" s="654"/>
      <c r="D125" s="503">
        <v>3</v>
      </c>
      <c r="E125" s="503">
        <v>30</v>
      </c>
      <c r="F125" s="503">
        <v>3</v>
      </c>
      <c r="G125" s="503">
        <v>520</v>
      </c>
      <c r="H125" s="509">
        <v>100000000</v>
      </c>
      <c r="I125" s="504">
        <v>0</v>
      </c>
      <c r="J125" s="508" t="s">
        <v>1341</v>
      </c>
      <c r="K125" s="503" t="s">
        <v>25</v>
      </c>
      <c r="L125" s="503">
        <v>7</v>
      </c>
      <c r="M125" s="503">
        <v>0</v>
      </c>
    </row>
    <row r="126" spans="1:13" s="184" customFormat="1" ht="30.75" customHeight="1" thickTop="1" thickBot="1" x14ac:dyDescent="0.3">
      <c r="A126" s="503" t="s">
        <v>1337</v>
      </c>
      <c r="B126" s="628" t="s">
        <v>2551</v>
      </c>
      <c r="C126" s="654"/>
      <c r="D126" s="503">
        <v>3</v>
      </c>
      <c r="E126" s="503">
        <v>30</v>
      </c>
      <c r="F126" s="503">
        <v>3</v>
      </c>
      <c r="G126" s="503">
        <v>520</v>
      </c>
      <c r="H126" s="509">
        <v>432750000</v>
      </c>
      <c r="I126" s="504">
        <v>367615000</v>
      </c>
      <c r="J126" s="508" t="s">
        <v>1342</v>
      </c>
      <c r="K126" s="503" t="s">
        <v>13</v>
      </c>
      <c r="L126" s="503">
        <v>7</v>
      </c>
      <c r="M126" s="503">
        <v>6</v>
      </c>
    </row>
    <row r="127" spans="1:13" s="184" customFormat="1" ht="40.5" customHeight="1" thickTop="1" thickBot="1" x14ac:dyDescent="0.3">
      <c r="A127" s="503" t="s">
        <v>1337</v>
      </c>
      <c r="B127" s="628" t="s">
        <v>2551</v>
      </c>
      <c r="C127" s="654"/>
      <c r="D127" s="503">
        <v>3</v>
      </c>
      <c r="E127" s="503">
        <v>30</v>
      </c>
      <c r="F127" s="503">
        <v>3</v>
      </c>
      <c r="G127" s="503">
        <v>540</v>
      </c>
      <c r="H127" s="509">
        <v>0</v>
      </c>
      <c r="I127" s="504">
        <v>0</v>
      </c>
      <c r="J127" s="508" t="s">
        <v>1343</v>
      </c>
      <c r="K127" s="531" t="s">
        <v>383</v>
      </c>
      <c r="L127" s="503">
        <v>16</v>
      </c>
      <c r="M127" s="503">
        <v>0</v>
      </c>
    </row>
    <row r="128" spans="1:13" s="184" customFormat="1" ht="40.5" customHeight="1" thickTop="1" thickBot="1" x14ac:dyDescent="0.3">
      <c r="A128" s="503" t="s">
        <v>1337</v>
      </c>
      <c r="B128" s="628" t="s">
        <v>2551</v>
      </c>
      <c r="C128" s="654"/>
      <c r="D128" s="503">
        <v>3</v>
      </c>
      <c r="E128" s="503">
        <v>30</v>
      </c>
      <c r="F128" s="503">
        <v>3</v>
      </c>
      <c r="G128" s="503">
        <v>540</v>
      </c>
      <c r="H128" s="509">
        <v>0</v>
      </c>
      <c r="I128" s="504">
        <v>0</v>
      </c>
      <c r="J128" s="508" t="s">
        <v>1344</v>
      </c>
      <c r="K128" s="503" t="s">
        <v>625</v>
      </c>
      <c r="L128" s="503">
        <v>23</v>
      </c>
      <c r="M128" s="503">
        <v>0</v>
      </c>
    </row>
    <row r="129" spans="1:13" s="184" customFormat="1" ht="40.5" customHeight="1" thickTop="1" thickBot="1" x14ac:dyDescent="0.3">
      <c r="A129" s="503" t="s">
        <v>1337</v>
      </c>
      <c r="B129" s="628" t="s">
        <v>2551</v>
      </c>
      <c r="C129" s="654"/>
      <c r="D129" s="503">
        <v>3</v>
      </c>
      <c r="E129" s="503">
        <v>30</v>
      </c>
      <c r="F129" s="503">
        <v>3</v>
      </c>
      <c r="G129" s="503">
        <v>540</v>
      </c>
      <c r="H129" s="509">
        <v>0</v>
      </c>
      <c r="I129" s="504">
        <v>0</v>
      </c>
      <c r="J129" s="508" t="s">
        <v>1345</v>
      </c>
      <c r="K129" s="503" t="s">
        <v>702</v>
      </c>
      <c r="L129" s="503">
        <v>1</v>
      </c>
      <c r="M129" s="503">
        <v>0</v>
      </c>
    </row>
    <row r="130" spans="1:13" s="184" customFormat="1" ht="41.25" customHeight="1" thickTop="1" thickBot="1" x14ac:dyDescent="0.3">
      <c r="A130" s="503" t="s">
        <v>1337</v>
      </c>
      <c r="B130" s="628" t="s">
        <v>2551</v>
      </c>
      <c r="C130" s="654"/>
      <c r="D130" s="503">
        <v>3</v>
      </c>
      <c r="E130" s="503">
        <v>30</v>
      </c>
      <c r="F130" s="503">
        <v>3</v>
      </c>
      <c r="G130" s="503">
        <v>530</v>
      </c>
      <c r="H130" s="509">
        <v>58785000</v>
      </c>
      <c r="I130" s="504">
        <v>58785000</v>
      </c>
      <c r="J130" s="508" t="s">
        <v>1346</v>
      </c>
      <c r="K130" s="503" t="s">
        <v>17</v>
      </c>
      <c r="L130" s="503">
        <v>384</v>
      </c>
      <c r="M130" s="503">
        <v>384</v>
      </c>
    </row>
    <row r="131" spans="1:13" s="184" customFormat="1" ht="48.75" customHeight="1" thickTop="1" thickBot="1" x14ac:dyDescent="0.3">
      <c r="A131" s="503" t="s">
        <v>1337</v>
      </c>
      <c r="B131" s="628" t="s">
        <v>2551</v>
      </c>
      <c r="C131" s="654"/>
      <c r="D131" s="503">
        <v>3</v>
      </c>
      <c r="E131" s="503">
        <v>30</v>
      </c>
      <c r="F131" s="503">
        <v>3</v>
      </c>
      <c r="G131" s="503">
        <v>580</v>
      </c>
      <c r="H131" s="509">
        <v>15000000</v>
      </c>
      <c r="I131" s="504">
        <v>15000000</v>
      </c>
      <c r="J131" s="508" t="s">
        <v>1347</v>
      </c>
      <c r="K131" s="503" t="s">
        <v>72</v>
      </c>
      <c r="L131" s="503">
        <v>6</v>
      </c>
      <c r="M131" s="503">
        <v>6</v>
      </c>
    </row>
    <row r="132" spans="1:13" s="184" customFormat="1" ht="15.75" customHeight="1" thickTop="1" thickBot="1" x14ac:dyDescent="0.3">
      <c r="A132" s="158"/>
      <c r="B132" s="158"/>
      <c r="C132" s="158"/>
      <c r="D132" s="158"/>
      <c r="E132" s="158"/>
      <c r="F132" s="158"/>
      <c r="G132" s="158"/>
      <c r="H132" s="158"/>
      <c r="I132" s="158"/>
      <c r="J132" s="530"/>
      <c r="K132" s="158"/>
      <c r="L132" s="158"/>
      <c r="M132" s="158"/>
    </row>
    <row r="133" spans="1:13" s="152" customFormat="1" ht="30" customHeight="1" thickTop="1" thickBot="1" x14ac:dyDescent="0.3">
      <c r="A133" s="639" t="s">
        <v>0</v>
      </c>
      <c r="B133" s="639" t="s">
        <v>1</v>
      </c>
      <c r="C133" s="639" t="s">
        <v>2569</v>
      </c>
      <c r="D133" s="636" t="s">
        <v>1961</v>
      </c>
      <c r="E133" s="637"/>
      <c r="F133" s="637"/>
      <c r="G133" s="638"/>
      <c r="H133" s="636" t="s">
        <v>3</v>
      </c>
      <c r="I133" s="637"/>
      <c r="J133" s="636" t="s">
        <v>1962</v>
      </c>
      <c r="K133" s="637"/>
      <c r="L133" s="637"/>
      <c r="M133" s="637"/>
    </row>
    <row r="134" spans="1:13" s="152" customFormat="1" ht="34.5" customHeight="1" thickTop="1" thickBot="1" x14ac:dyDescent="0.3">
      <c r="A134" s="661"/>
      <c r="B134" s="661"/>
      <c r="C134" s="661"/>
      <c r="D134" s="493" t="s">
        <v>4</v>
      </c>
      <c r="E134" s="493" t="s">
        <v>5</v>
      </c>
      <c r="F134" s="493" t="s">
        <v>6</v>
      </c>
      <c r="G134" s="493" t="s">
        <v>7</v>
      </c>
      <c r="H134" s="493" t="s">
        <v>2</v>
      </c>
      <c r="I134" s="493" t="s">
        <v>3</v>
      </c>
      <c r="J134" s="493" t="s">
        <v>8</v>
      </c>
      <c r="K134" s="493" t="s">
        <v>9</v>
      </c>
      <c r="L134" s="493" t="s">
        <v>1963</v>
      </c>
      <c r="M134" s="513" t="s">
        <v>1964</v>
      </c>
    </row>
    <row r="135" spans="1:13" s="179" customFormat="1" ht="50.25" customHeight="1" thickTop="1" thickBot="1" x14ac:dyDescent="0.25">
      <c r="A135" s="503" t="s">
        <v>2553</v>
      </c>
      <c r="B135" s="503" t="s">
        <v>2551</v>
      </c>
      <c r="C135" s="503" t="s">
        <v>18</v>
      </c>
      <c r="D135" s="502">
        <v>3</v>
      </c>
      <c r="E135" s="463">
        <v>30</v>
      </c>
      <c r="F135" s="463">
        <v>3</v>
      </c>
      <c r="G135" s="502">
        <v>848</v>
      </c>
      <c r="H135" s="509">
        <v>480451146</v>
      </c>
      <c r="I135" s="504">
        <v>397575000</v>
      </c>
      <c r="J135" s="508" t="s">
        <v>1245</v>
      </c>
      <c r="K135" s="502" t="s">
        <v>20</v>
      </c>
      <c r="L135" s="502">
        <v>330</v>
      </c>
      <c r="M135" s="502">
        <v>330</v>
      </c>
    </row>
    <row r="136" spans="1:13" s="179" customFormat="1" ht="33" customHeight="1" thickTop="1" thickBot="1" x14ac:dyDescent="0.25">
      <c r="A136" s="628" t="s">
        <v>2553</v>
      </c>
      <c r="B136" s="628" t="s">
        <v>2551</v>
      </c>
      <c r="C136" s="654" t="s">
        <v>53</v>
      </c>
      <c r="D136" s="502">
        <v>3</v>
      </c>
      <c r="E136" s="502">
        <v>30</v>
      </c>
      <c r="F136" s="502">
        <v>3</v>
      </c>
      <c r="G136" s="502">
        <v>520</v>
      </c>
      <c r="H136" s="509">
        <f>173552675+50000000</f>
        <v>223552675</v>
      </c>
      <c r="I136" s="504">
        <v>0</v>
      </c>
      <c r="J136" s="508" t="s">
        <v>1246</v>
      </c>
      <c r="K136" s="502" t="s">
        <v>738</v>
      </c>
      <c r="L136" s="502">
        <v>3</v>
      </c>
      <c r="M136" s="502">
        <v>0</v>
      </c>
    </row>
    <row r="137" spans="1:13" s="179" customFormat="1" ht="33" customHeight="1" thickTop="1" thickBot="1" x14ac:dyDescent="0.25">
      <c r="A137" s="628" t="s">
        <v>2553</v>
      </c>
      <c r="B137" s="628" t="s">
        <v>2551</v>
      </c>
      <c r="C137" s="654"/>
      <c r="D137" s="502">
        <v>3</v>
      </c>
      <c r="E137" s="502">
        <v>30</v>
      </c>
      <c r="F137" s="502">
        <v>3</v>
      </c>
      <c r="G137" s="502">
        <v>520</v>
      </c>
      <c r="H137" s="509">
        <v>50000000</v>
      </c>
      <c r="I137" s="504">
        <v>40652500</v>
      </c>
      <c r="J137" s="508" t="s">
        <v>1247</v>
      </c>
      <c r="K137" s="502" t="s">
        <v>25</v>
      </c>
      <c r="L137" s="502">
        <v>4</v>
      </c>
      <c r="M137" s="502">
        <v>1</v>
      </c>
    </row>
    <row r="138" spans="1:13" s="179" customFormat="1" ht="51" customHeight="1" thickTop="1" thickBot="1" x14ac:dyDescent="0.25">
      <c r="A138" s="628" t="s">
        <v>2553</v>
      </c>
      <c r="B138" s="628" t="s">
        <v>2551</v>
      </c>
      <c r="C138" s="654"/>
      <c r="D138" s="502">
        <v>3</v>
      </c>
      <c r="E138" s="502">
        <v>30</v>
      </c>
      <c r="F138" s="502">
        <v>3</v>
      </c>
      <c r="G138" s="502">
        <v>520</v>
      </c>
      <c r="H138" s="509">
        <v>145000000</v>
      </c>
      <c r="I138" s="504">
        <v>142820000</v>
      </c>
      <c r="J138" s="508" t="s">
        <v>1248</v>
      </c>
      <c r="K138" s="502" t="s">
        <v>13</v>
      </c>
      <c r="L138" s="502">
        <v>1</v>
      </c>
      <c r="M138" s="502">
        <v>1</v>
      </c>
    </row>
    <row r="139" spans="1:13" s="179" customFormat="1" ht="30.75" customHeight="1" thickTop="1" thickBot="1" x14ac:dyDescent="0.25">
      <c r="A139" s="628" t="s">
        <v>2553</v>
      </c>
      <c r="B139" s="628" t="s">
        <v>2551</v>
      </c>
      <c r="C139" s="654"/>
      <c r="D139" s="502">
        <v>3</v>
      </c>
      <c r="E139" s="502">
        <v>30</v>
      </c>
      <c r="F139" s="502">
        <v>3</v>
      </c>
      <c r="G139" s="502">
        <v>520</v>
      </c>
      <c r="H139" s="509">
        <v>30000000</v>
      </c>
      <c r="I139" s="504">
        <v>29000000</v>
      </c>
      <c r="J139" s="508" t="s">
        <v>1249</v>
      </c>
      <c r="K139" s="502" t="s">
        <v>13</v>
      </c>
      <c r="L139" s="502">
        <v>1</v>
      </c>
      <c r="M139" s="502">
        <v>1</v>
      </c>
    </row>
    <row r="140" spans="1:13" s="179" customFormat="1" ht="30.75" customHeight="1" thickTop="1" thickBot="1" x14ac:dyDescent="0.25">
      <c r="A140" s="628" t="s">
        <v>2553</v>
      </c>
      <c r="B140" s="628" t="s">
        <v>2551</v>
      </c>
      <c r="C140" s="654"/>
      <c r="D140" s="502">
        <v>3</v>
      </c>
      <c r="E140" s="502">
        <v>30</v>
      </c>
      <c r="F140" s="502">
        <v>3</v>
      </c>
      <c r="G140" s="502">
        <v>520</v>
      </c>
      <c r="H140" s="509">
        <v>20000000</v>
      </c>
      <c r="I140" s="504">
        <v>19650000</v>
      </c>
      <c r="J140" s="508" t="s">
        <v>1250</v>
      </c>
      <c r="K140" s="502" t="s">
        <v>13</v>
      </c>
      <c r="L140" s="502">
        <v>1</v>
      </c>
      <c r="M140" s="502">
        <v>1</v>
      </c>
    </row>
    <row r="141" spans="1:13" s="179" customFormat="1" ht="40.5" customHeight="1" thickTop="1" thickBot="1" x14ac:dyDescent="0.25">
      <c r="A141" s="628" t="s">
        <v>2553</v>
      </c>
      <c r="B141" s="628" t="s">
        <v>2551</v>
      </c>
      <c r="C141" s="654"/>
      <c r="D141" s="502">
        <v>3</v>
      </c>
      <c r="E141" s="502">
        <v>30</v>
      </c>
      <c r="F141" s="502">
        <v>3</v>
      </c>
      <c r="G141" s="502">
        <v>520</v>
      </c>
      <c r="H141" s="509">
        <v>40000000</v>
      </c>
      <c r="I141" s="504">
        <v>38000000</v>
      </c>
      <c r="J141" s="508" t="s">
        <v>1251</v>
      </c>
      <c r="K141" s="502" t="s">
        <v>13</v>
      </c>
      <c r="L141" s="502">
        <v>1</v>
      </c>
      <c r="M141" s="502">
        <v>1</v>
      </c>
    </row>
    <row r="142" spans="1:13" s="179" customFormat="1" ht="40.5" customHeight="1" thickTop="1" thickBot="1" x14ac:dyDescent="0.25">
      <c r="A142" s="628" t="s">
        <v>2553</v>
      </c>
      <c r="B142" s="628" t="s">
        <v>2551</v>
      </c>
      <c r="C142" s="654"/>
      <c r="D142" s="502">
        <v>3</v>
      </c>
      <c r="E142" s="502">
        <v>30</v>
      </c>
      <c r="F142" s="502">
        <v>3</v>
      </c>
      <c r="G142" s="502">
        <v>520</v>
      </c>
      <c r="H142" s="509">
        <v>40000000</v>
      </c>
      <c r="I142" s="504">
        <v>36500000</v>
      </c>
      <c r="J142" s="508" t="s">
        <v>1252</v>
      </c>
      <c r="K142" s="502" t="s">
        <v>13</v>
      </c>
      <c r="L142" s="502">
        <v>1</v>
      </c>
      <c r="M142" s="502">
        <v>1</v>
      </c>
    </row>
    <row r="143" spans="1:13" s="179" customFormat="1" ht="33.75" customHeight="1" thickTop="1" thickBot="1" x14ac:dyDescent="0.25">
      <c r="A143" s="628" t="s">
        <v>2553</v>
      </c>
      <c r="B143" s="628" t="s">
        <v>2551</v>
      </c>
      <c r="C143" s="654" t="s">
        <v>440</v>
      </c>
      <c r="D143" s="502">
        <v>3</v>
      </c>
      <c r="E143" s="502">
        <v>30</v>
      </c>
      <c r="F143" s="502">
        <v>3</v>
      </c>
      <c r="G143" s="502">
        <v>520</v>
      </c>
      <c r="H143" s="509">
        <v>50000000</v>
      </c>
      <c r="I143" s="504">
        <v>45000000</v>
      </c>
      <c r="J143" s="508" t="s">
        <v>1253</v>
      </c>
      <c r="K143" s="502" t="s">
        <v>13</v>
      </c>
      <c r="L143" s="502">
        <v>1</v>
      </c>
      <c r="M143" s="502">
        <v>1</v>
      </c>
    </row>
    <row r="144" spans="1:13" s="179" customFormat="1" ht="33.75" customHeight="1" thickTop="1" thickBot="1" x14ac:dyDescent="0.25">
      <c r="A144" s="628" t="s">
        <v>2553</v>
      </c>
      <c r="B144" s="628" t="s">
        <v>2551</v>
      </c>
      <c r="C144" s="654"/>
      <c r="D144" s="502">
        <v>3</v>
      </c>
      <c r="E144" s="502">
        <v>30</v>
      </c>
      <c r="F144" s="502">
        <v>3</v>
      </c>
      <c r="G144" s="502">
        <v>520</v>
      </c>
      <c r="H144" s="509">
        <v>120000000</v>
      </c>
      <c r="I144" s="504">
        <v>120000000</v>
      </c>
      <c r="J144" s="508" t="s">
        <v>1254</v>
      </c>
      <c r="K144" s="502" t="s">
        <v>13</v>
      </c>
      <c r="L144" s="502">
        <v>1</v>
      </c>
      <c r="M144" s="502">
        <v>1</v>
      </c>
    </row>
    <row r="145" spans="1:13" s="179" customFormat="1" ht="39" customHeight="1" thickTop="1" thickBot="1" x14ac:dyDescent="0.25">
      <c r="A145" s="628" t="s">
        <v>2553</v>
      </c>
      <c r="B145" s="628" t="s">
        <v>2551</v>
      </c>
      <c r="C145" s="654"/>
      <c r="D145" s="502">
        <v>3</v>
      </c>
      <c r="E145" s="502">
        <v>30</v>
      </c>
      <c r="F145" s="502">
        <v>3</v>
      </c>
      <c r="G145" s="502">
        <v>520</v>
      </c>
      <c r="H145" s="509">
        <v>250000000</v>
      </c>
      <c r="I145" s="504">
        <v>209060000</v>
      </c>
      <c r="J145" s="508" t="s">
        <v>1255</v>
      </c>
      <c r="K145" s="502" t="s">
        <v>108</v>
      </c>
      <c r="L145" s="502">
        <v>100</v>
      </c>
      <c r="M145" s="502">
        <v>84</v>
      </c>
    </row>
    <row r="146" spans="1:13" s="179" customFormat="1" ht="39" customHeight="1" thickTop="1" thickBot="1" x14ac:dyDescent="0.25">
      <c r="A146" s="628" t="s">
        <v>2553</v>
      </c>
      <c r="B146" s="628" t="s">
        <v>2551</v>
      </c>
      <c r="C146" s="654"/>
      <c r="D146" s="502">
        <v>3</v>
      </c>
      <c r="E146" s="502">
        <v>30</v>
      </c>
      <c r="F146" s="502">
        <v>3</v>
      </c>
      <c r="G146" s="502">
        <v>520</v>
      </c>
      <c r="H146" s="509">
        <v>30000000</v>
      </c>
      <c r="I146" s="504">
        <v>28700000</v>
      </c>
      <c r="J146" s="508" t="s">
        <v>1256</v>
      </c>
      <c r="K146" s="502" t="s">
        <v>13</v>
      </c>
      <c r="L146" s="502">
        <v>2</v>
      </c>
      <c r="M146" s="502">
        <v>2</v>
      </c>
    </row>
    <row r="147" spans="1:13" s="179" customFormat="1" ht="39" customHeight="1" thickTop="1" thickBot="1" x14ac:dyDescent="0.25">
      <c r="A147" s="628" t="s">
        <v>2553</v>
      </c>
      <c r="B147" s="628" t="s">
        <v>2551</v>
      </c>
      <c r="C147" s="651" t="s">
        <v>53</v>
      </c>
      <c r="D147" s="502">
        <v>3</v>
      </c>
      <c r="E147" s="502">
        <v>30</v>
      </c>
      <c r="F147" s="502">
        <v>3</v>
      </c>
      <c r="G147" s="502">
        <v>980</v>
      </c>
      <c r="H147" s="509">
        <v>102500000</v>
      </c>
      <c r="I147" s="504">
        <v>102007500</v>
      </c>
      <c r="J147" s="508" t="s">
        <v>1257</v>
      </c>
      <c r="K147" s="502" t="s">
        <v>16</v>
      </c>
      <c r="L147" s="502">
        <v>2</v>
      </c>
      <c r="M147" s="502">
        <v>2</v>
      </c>
    </row>
    <row r="148" spans="1:13" s="179" customFormat="1" ht="39" customHeight="1" thickTop="1" thickBot="1" x14ac:dyDescent="0.25">
      <c r="A148" s="628" t="s">
        <v>2553</v>
      </c>
      <c r="B148" s="628" t="s">
        <v>2551</v>
      </c>
      <c r="C148" s="653"/>
      <c r="D148" s="502">
        <v>3</v>
      </c>
      <c r="E148" s="502">
        <v>30</v>
      </c>
      <c r="F148" s="502">
        <v>3</v>
      </c>
      <c r="G148" s="502">
        <v>580</v>
      </c>
      <c r="H148" s="509">
        <v>20000000</v>
      </c>
      <c r="I148" s="504">
        <v>15000000</v>
      </c>
      <c r="J148" s="508" t="s">
        <v>1258</v>
      </c>
      <c r="K148" s="502" t="s">
        <v>72</v>
      </c>
      <c r="L148" s="502">
        <v>1</v>
      </c>
      <c r="M148" s="502">
        <v>1</v>
      </c>
    </row>
    <row r="149" spans="1:13" s="179" customFormat="1" ht="15" customHeight="1" thickTop="1" thickBot="1" x14ac:dyDescent="0.25">
      <c r="A149" s="158"/>
      <c r="B149" s="158"/>
      <c r="C149" s="158"/>
      <c r="D149" s="165"/>
      <c r="E149" s="165"/>
      <c r="F149" s="165"/>
      <c r="G149" s="165"/>
      <c r="H149" s="164"/>
      <c r="I149" s="165"/>
      <c r="J149" s="530"/>
      <c r="K149" s="165"/>
      <c r="L149" s="165"/>
      <c r="M149" s="165"/>
    </row>
    <row r="150" spans="1:13" s="152" customFormat="1" ht="30" customHeight="1" thickTop="1" thickBot="1" x14ac:dyDescent="0.3">
      <c r="A150" s="639" t="s">
        <v>0</v>
      </c>
      <c r="B150" s="639" t="s">
        <v>1</v>
      </c>
      <c r="C150" s="639" t="s">
        <v>2569</v>
      </c>
      <c r="D150" s="636" t="s">
        <v>1961</v>
      </c>
      <c r="E150" s="637"/>
      <c r="F150" s="637"/>
      <c r="G150" s="638"/>
      <c r="H150" s="636" t="s">
        <v>3</v>
      </c>
      <c r="I150" s="637"/>
      <c r="J150" s="636" t="s">
        <v>1962</v>
      </c>
      <c r="K150" s="637"/>
      <c r="L150" s="637"/>
      <c r="M150" s="637"/>
    </row>
    <row r="151" spans="1:13" s="152" customFormat="1" ht="34.5" customHeight="1" thickTop="1" thickBot="1" x14ac:dyDescent="0.3">
      <c r="A151" s="661"/>
      <c r="B151" s="661"/>
      <c r="C151" s="661"/>
      <c r="D151" s="493" t="s">
        <v>4</v>
      </c>
      <c r="E151" s="493" t="s">
        <v>5</v>
      </c>
      <c r="F151" s="493" t="s">
        <v>6</v>
      </c>
      <c r="G151" s="493" t="s">
        <v>7</v>
      </c>
      <c r="H151" s="493" t="s">
        <v>2</v>
      </c>
      <c r="I151" s="493" t="s">
        <v>3</v>
      </c>
      <c r="J151" s="493" t="s">
        <v>8</v>
      </c>
      <c r="K151" s="493" t="s">
        <v>9</v>
      </c>
      <c r="L151" s="493" t="s">
        <v>1963</v>
      </c>
      <c r="M151" s="513" t="s">
        <v>1964</v>
      </c>
    </row>
    <row r="152" spans="1:13" s="179" customFormat="1" ht="47.25" customHeight="1" thickTop="1" thickBot="1" x14ac:dyDescent="0.25">
      <c r="A152" s="503" t="s">
        <v>1348</v>
      </c>
      <c r="B152" s="503" t="s">
        <v>2551</v>
      </c>
      <c r="C152" s="651" t="s">
        <v>18</v>
      </c>
      <c r="D152" s="502">
        <v>3</v>
      </c>
      <c r="E152" s="502">
        <v>30</v>
      </c>
      <c r="F152" s="502">
        <v>3</v>
      </c>
      <c r="G152" s="502">
        <v>848</v>
      </c>
      <c r="H152" s="509">
        <v>473787890</v>
      </c>
      <c r="I152" s="504">
        <v>330336000</v>
      </c>
      <c r="J152" s="501" t="s">
        <v>1259</v>
      </c>
      <c r="K152" s="502" t="s">
        <v>20</v>
      </c>
      <c r="L152" s="502">
        <v>219</v>
      </c>
      <c r="M152" s="502">
        <v>154</v>
      </c>
    </row>
    <row r="153" spans="1:13" s="179" customFormat="1" ht="38.25" customHeight="1" thickTop="1" thickBot="1" x14ac:dyDescent="0.25">
      <c r="A153" s="628" t="s">
        <v>1348</v>
      </c>
      <c r="B153" s="628" t="s">
        <v>2551</v>
      </c>
      <c r="C153" s="653"/>
      <c r="D153" s="502">
        <v>3</v>
      </c>
      <c r="E153" s="502">
        <v>30</v>
      </c>
      <c r="F153" s="502">
        <v>3</v>
      </c>
      <c r="G153" s="502">
        <v>960</v>
      </c>
      <c r="H153" s="509">
        <v>222001910</v>
      </c>
      <c r="I153" s="504">
        <v>222001910</v>
      </c>
      <c r="J153" s="501" t="s">
        <v>1260</v>
      </c>
      <c r="K153" s="502" t="s">
        <v>16</v>
      </c>
      <c r="L153" s="502">
        <v>1</v>
      </c>
      <c r="M153" s="502">
        <v>1</v>
      </c>
    </row>
    <row r="154" spans="1:13" s="179" customFormat="1" ht="30" customHeight="1" thickTop="1" thickBot="1" x14ac:dyDescent="0.25">
      <c r="A154" s="628" t="s">
        <v>1348</v>
      </c>
      <c r="B154" s="628" t="s">
        <v>2551</v>
      </c>
      <c r="C154" s="651" t="s">
        <v>53</v>
      </c>
      <c r="D154" s="502">
        <v>3</v>
      </c>
      <c r="E154" s="502">
        <v>30</v>
      </c>
      <c r="F154" s="502">
        <v>3</v>
      </c>
      <c r="G154" s="502">
        <v>520</v>
      </c>
      <c r="H154" s="509">
        <v>120000000</v>
      </c>
      <c r="I154" s="504">
        <v>120000000</v>
      </c>
      <c r="J154" s="501" t="s">
        <v>1261</v>
      </c>
      <c r="K154" s="502" t="s">
        <v>96</v>
      </c>
      <c r="L154" s="502">
        <v>1</v>
      </c>
      <c r="M154" s="502">
        <v>1</v>
      </c>
    </row>
    <row r="155" spans="1:13" s="179" customFormat="1" ht="38.25" customHeight="1" thickTop="1" thickBot="1" x14ac:dyDescent="0.25">
      <c r="A155" s="628" t="s">
        <v>1348</v>
      </c>
      <c r="B155" s="628" t="s">
        <v>2551</v>
      </c>
      <c r="C155" s="652"/>
      <c r="D155" s="502">
        <v>3</v>
      </c>
      <c r="E155" s="502">
        <v>30</v>
      </c>
      <c r="F155" s="502">
        <v>3</v>
      </c>
      <c r="G155" s="502">
        <v>520</v>
      </c>
      <c r="H155" s="509">
        <v>160000000</v>
      </c>
      <c r="I155" s="504">
        <f>109000000+26000000+24800000</f>
        <v>159800000</v>
      </c>
      <c r="J155" s="501" t="s">
        <v>1262</v>
      </c>
      <c r="K155" s="502" t="s">
        <v>13</v>
      </c>
      <c r="L155" s="502">
        <v>1</v>
      </c>
      <c r="M155" s="502">
        <v>1</v>
      </c>
    </row>
    <row r="156" spans="1:13" s="179" customFormat="1" ht="30" customHeight="1" thickTop="1" thickBot="1" x14ac:dyDescent="0.25">
      <c r="A156" s="628" t="s">
        <v>1348</v>
      </c>
      <c r="B156" s="628" t="s">
        <v>2551</v>
      </c>
      <c r="C156" s="652"/>
      <c r="D156" s="502">
        <v>3</v>
      </c>
      <c r="E156" s="502">
        <v>30</v>
      </c>
      <c r="F156" s="502">
        <v>3</v>
      </c>
      <c r="G156" s="502">
        <v>520</v>
      </c>
      <c r="H156" s="509">
        <v>24000000</v>
      </c>
      <c r="I156" s="504">
        <v>0</v>
      </c>
      <c r="J156" s="501" t="s">
        <v>1263</v>
      </c>
      <c r="K156" s="502" t="s">
        <v>25</v>
      </c>
      <c r="L156" s="502">
        <v>2</v>
      </c>
      <c r="M156" s="502">
        <v>0</v>
      </c>
    </row>
    <row r="157" spans="1:13" s="179" customFormat="1" ht="30" customHeight="1" thickTop="1" thickBot="1" x14ac:dyDescent="0.25">
      <c r="A157" s="628" t="s">
        <v>1348</v>
      </c>
      <c r="B157" s="628" t="s">
        <v>2551</v>
      </c>
      <c r="C157" s="652"/>
      <c r="D157" s="502">
        <v>3</v>
      </c>
      <c r="E157" s="502">
        <v>30</v>
      </c>
      <c r="F157" s="502">
        <v>3</v>
      </c>
      <c r="G157" s="502">
        <v>520</v>
      </c>
      <c r="H157" s="509">
        <v>176212300</v>
      </c>
      <c r="I157" s="504">
        <v>0</v>
      </c>
      <c r="J157" s="501" t="s">
        <v>1264</v>
      </c>
      <c r="K157" s="502" t="s">
        <v>410</v>
      </c>
      <c r="L157" s="502">
        <v>3</v>
      </c>
      <c r="M157" s="502">
        <v>0</v>
      </c>
    </row>
    <row r="158" spans="1:13" s="179" customFormat="1" ht="30" customHeight="1" thickTop="1" thickBot="1" x14ac:dyDescent="0.25">
      <c r="A158" s="628" t="s">
        <v>1348</v>
      </c>
      <c r="B158" s="628" t="s">
        <v>2551</v>
      </c>
      <c r="C158" s="652"/>
      <c r="D158" s="502">
        <v>3</v>
      </c>
      <c r="E158" s="502">
        <v>30</v>
      </c>
      <c r="F158" s="502">
        <v>3</v>
      </c>
      <c r="G158" s="502">
        <v>520</v>
      </c>
      <c r="H158" s="509">
        <v>150000000</v>
      </c>
      <c r="I158" s="504">
        <v>75000000</v>
      </c>
      <c r="J158" s="501" t="s">
        <v>1265</v>
      </c>
      <c r="K158" s="502" t="s">
        <v>55</v>
      </c>
      <c r="L158" s="502">
        <v>1</v>
      </c>
      <c r="M158" s="502">
        <v>0.5</v>
      </c>
    </row>
    <row r="159" spans="1:13" s="179" customFormat="1" ht="35.25" thickTop="1" thickBot="1" x14ac:dyDescent="0.25">
      <c r="A159" s="628" t="s">
        <v>1348</v>
      </c>
      <c r="B159" s="628" t="s">
        <v>2551</v>
      </c>
      <c r="C159" s="652"/>
      <c r="D159" s="502">
        <v>3</v>
      </c>
      <c r="E159" s="502">
        <v>30</v>
      </c>
      <c r="F159" s="502">
        <v>3</v>
      </c>
      <c r="G159" s="502">
        <v>520</v>
      </c>
      <c r="H159" s="509">
        <f>130000000+33849602</f>
        <v>163849602</v>
      </c>
      <c r="I159" s="504">
        <v>0</v>
      </c>
      <c r="J159" s="501" t="s">
        <v>1266</v>
      </c>
      <c r="K159" s="502" t="s">
        <v>13</v>
      </c>
      <c r="L159" s="502">
        <v>1</v>
      </c>
      <c r="M159" s="502">
        <v>0</v>
      </c>
    </row>
    <row r="160" spans="1:13" s="179" customFormat="1" ht="30" customHeight="1" thickTop="1" thickBot="1" x14ac:dyDescent="0.25">
      <c r="A160" s="628" t="s">
        <v>1348</v>
      </c>
      <c r="B160" s="628" t="s">
        <v>2551</v>
      </c>
      <c r="C160" s="652"/>
      <c r="D160" s="502">
        <v>3</v>
      </c>
      <c r="E160" s="502">
        <v>30</v>
      </c>
      <c r="F160" s="502">
        <v>3</v>
      </c>
      <c r="G160" s="502">
        <v>520</v>
      </c>
      <c r="H160" s="509">
        <v>56766132</v>
      </c>
      <c r="I160" s="504">
        <v>49454000</v>
      </c>
      <c r="J160" s="501" t="s">
        <v>1267</v>
      </c>
      <c r="K160" s="502" t="s">
        <v>13</v>
      </c>
      <c r="L160" s="502">
        <v>1</v>
      </c>
      <c r="M160" s="502">
        <v>1</v>
      </c>
    </row>
    <row r="161" spans="1:13" s="179" customFormat="1" ht="36.75" customHeight="1" thickTop="1" thickBot="1" x14ac:dyDescent="0.25">
      <c r="A161" s="628" t="s">
        <v>1348</v>
      </c>
      <c r="B161" s="628" t="s">
        <v>2551</v>
      </c>
      <c r="C161" s="652"/>
      <c r="D161" s="502">
        <v>3</v>
      </c>
      <c r="E161" s="502">
        <v>30</v>
      </c>
      <c r="F161" s="502">
        <v>3</v>
      </c>
      <c r="G161" s="502">
        <v>520</v>
      </c>
      <c r="H161" s="509">
        <v>90000000</v>
      </c>
      <c r="I161" s="504">
        <v>0</v>
      </c>
      <c r="J161" s="501" t="s">
        <v>1268</v>
      </c>
      <c r="K161" s="502" t="s">
        <v>13</v>
      </c>
      <c r="L161" s="502">
        <v>1</v>
      </c>
      <c r="M161" s="502">
        <v>0</v>
      </c>
    </row>
    <row r="162" spans="1:13" s="179" customFormat="1" ht="36.75" customHeight="1" thickTop="1" thickBot="1" x14ac:dyDescent="0.25">
      <c r="A162" s="628" t="s">
        <v>1348</v>
      </c>
      <c r="B162" s="628" t="s">
        <v>2551</v>
      </c>
      <c r="C162" s="653"/>
      <c r="D162" s="502">
        <v>3</v>
      </c>
      <c r="E162" s="502">
        <v>30</v>
      </c>
      <c r="F162" s="502">
        <v>3</v>
      </c>
      <c r="G162" s="502">
        <v>520</v>
      </c>
      <c r="H162" s="509">
        <v>60000000</v>
      </c>
      <c r="I162" s="504">
        <v>0</v>
      </c>
      <c r="J162" s="501" t="s">
        <v>1269</v>
      </c>
      <c r="K162" s="502" t="s">
        <v>13</v>
      </c>
      <c r="L162" s="502">
        <v>1</v>
      </c>
      <c r="M162" s="502">
        <v>0</v>
      </c>
    </row>
    <row r="163" spans="1:13" s="179" customFormat="1" ht="36.75" customHeight="1" thickTop="1" thickBot="1" x14ac:dyDescent="0.25">
      <c r="A163" s="628" t="s">
        <v>1348</v>
      </c>
      <c r="B163" s="628" t="s">
        <v>2551</v>
      </c>
      <c r="C163" s="654" t="s">
        <v>440</v>
      </c>
      <c r="D163" s="502">
        <v>3</v>
      </c>
      <c r="E163" s="502">
        <v>30</v>
      </c>
      <c r="F163" s="502">
        <v>3</v>
      </c>
      <c r="G163" s="502">
        <v>520</v>
      </c>
      <c r="H163" s="509">
        <v>35250000</v>
      </c>
      <c r="I163" s="504">
        <f>19500000+15750000</f>
        <v>35250000</v>
      </c>
      <c r="J163" s="501" t="s">
        <v>1270</v>
      </c>
      <c r="K163" s="502" t="s">
        <v>13</v>
      </c>
      <c r="L163" s="502">
        <v>3</v>
      </c>
      <c r="M163" s="502">
        <v>3</v>
      </c>
    </row>
    <row r="164" spans="1:13" s="179" customFormat="1" ht="28.5" customHeight="1" thickTop="1" thickBot="1" x14ac:dyDescent="0.25">
      <c r="A164" s="628" t="s">
        <v>1348</v>
      </c>
      <c r="B164" s="628" t="s">
        <v>2551</v>
      </c>
      <c r="C164" s="654"/>
      <c r="D164" s="502">
        <v>3</v>
      </c>
      <c r="E164" s="502">
        <v>30</v>
      </c>
      <c r="F164" s="502">
        <v>3</v>
      </c>
      <c r="G164" s="502">
        <v>520</v>
      </c>
      <c r="H164" s="509">
        <v>300000000</v>
      </c>
      <c r="I164" s="504">
        <v>299548500</v>
      </c>
      <c r="J164" s="501" t="s">
        <v>1271</v>
      </c>
      <c r="K164" s="502" t="s">
        <v>82</v>
      </c>
      <c r="L164" s="502">
        <v>200</v>
      </c>
      <c r="M164" s="502">
        <v>200</v>
      </c>
    </row>
    <row r="165" spans="1:13" s="179" customFormat="1" ht="28.5" customHeight="1" thickTop="1" thickBot="1" x14ac:dyDescent="0.25">
      <c r="A165" s="628" t="s">
        <v>1348</v>
      </c>
      <c r="B165" s="628" t="s">
        <v>2551</v>
      </c>
      <c r="C165" s="654"/>
      <c r="D165" s="502">
        <v>3</v>
      </c>
      <c r="E165" s="502">
        <v>30</v>
      </c>
      <c r="F165" s="502">
        <v>3</v>
      </c>
      <c r="G165" s="502">
        <v>520</v>
      </c>
      <c r="H165" s="509">
        <v>87431500</v>
      </c>
      <c r="I165" s="504">
        <v>87431500</v>
      </c>
      <c r="J165" s="508" t="s">
        <v>1272</v>
      </c>
      <c r="K165" s="502" t="s">
        <v>82</v>
      </c>
      <c r="L165" s="502">
        <v>4</v>
      </c>
      <c r="M165" s="502">
        <v>4</v>
      </c>
    </row>
    <row r="166" spans="1:13" s="179" customFormat="1" ht="28.5" customHeight="1" thickTop="1" thickBot="1" x14ac:dyDescent="0.25">
      <c r="A166" s="628" t="s">
        <v>1348</v>
      </c>
      <c r="B166" s="628" t="s">
        <v>2551</v>
      </c>
      <c r="C166" s="654"/>
      <c r="D166" s="502">
        <v>3</v>
      </c>
      <c r="E166" s="502">
        <v>30</v>
      </c>
      <c r="F166" s="502">
        <v>3</v>
      </c>
      <c r="G166" s="502">
        <v>520</v>
      </c>
      <c r="H166" s="509">
        <v>150000000</v>
      </c>
      <c r="I166" s="504">
        <v>121450000</v>
      </c>
      <c r="J166" s="501" t="s">
        <v>1273</v>
      </c>
      <c r="K166" s="502" t="s">
        <v>13</v>
      </c>
      <c r="L166" s="502">
        <v>5</v>
      </c>
      <c r="M166" s="502">
        <v>4</v>
      </c>
    </row>
    <row r="167" spans="1:13" s="179" customFormat="1" ht="37.5" customHeight="1" thickTop="1" thickBot="1" x14ac:dyDescent="0.25">
      <c r="A167" s="628" t="s">
        <v>1348</v>
      </c>
      <c r="B167" s="628" t="s">
        <v>2551</v>
      </c>
      <c r="C167" s="654" t="s">
        <v>42</v>
      </c>
      <c r="D167" s="502">
        <v>3</v>
      </c>
      <c r="E167" s="502">
        <v>30</v>
      </c>
      <c r="F167" s="502">
        <v>3</v>
      </c>
      <c r="G167" s="502">
        <v>540</v>
      </c>
      <c r="H167" s="509">
        <v>42000000</v>
      </c>
      <c r="I167" s="504">
        <v>0</v>
      </c>
      <c r="J167" s="501" t="s">
        <v>1274</v>
      </c>
      <c r="K167" s="502" t="s">
        <v>44</v>
      </c>
      <c r="L167" s="502">
        <v>169</v>
      </c>
      <c r="M167" s="502">
        <v>0</v>
      </c>
    </row>
    <row r="168" spans="1:13" s="179" customFormat="1" ht="37.5" customHeight="1" thickTop="1" thickBot="1" x14ac:dyDescent="0.25">
      <c r="A168" s="628" t="s">
        <v>1348</v>
      </c>
      <c r="B168" s="628" t="s">
        <v>2551</v>
      </c>
      <c r="C168" s="654"/>
      <c r="D168" s="502">
        <v>3</v>
      </c>
      <c r="E168" s="502">
        <v>30</v>
      </c>
      <c r="F168" s="502">
        <v>3</v>
      </c>
      <c r="G168" s="502">
        <v>540</v>
      </c>
      <c r="H168" s="509">
        <v>8000000</v>
      </c>
      <c r="I168" s="504">
        <v>0</v>
      </c>
      <c r="J168" s="501" t="s">
        <v>1275</v>
      </c>
      <c r="K168" s="502" t="s">
        <v>66</v>
      </c>
      <c r="L168" s="502">
        <v>14</v>
      </c>
      <c r="M168" s="502">
        <v>0</v>
      </c>
    </row>
    <row r="169" spans="1:13" s="179" customFormat="1" ht="15" customHeight="1" thickTop="1" thickBot="1" x14ac:dyDescent="0.25">
      <c r="A169" s="158"/>
      <c r="B169" s="532"/>
      <c r="C169" s="532"/>
      <c r="D169" s="533"/>
      <c r="E169" s="533"/>
      <c r="F169" s="533"/>
      <c r="G169" s="533"/>
      <c r="H169" s="534"/>
      <c r="I169" s="534"/>
      <c r="J169" s="525"/>
      <c r="K169" s="165"/>
      <c r="L169" s="165"/>
      <c r="M169" s="165"/>
    </row>
    <row r="170" spans="1:13" s="152" customFormat="1" ht="30" customHeight="1" thickTop="1" thickBot="1" x14ac:dyDescent="0.3">
      <c r="A170" s="639" t="s">
        <v>0</v>
      </c>
      <c r="B170" s="718" t="s">
        <v>1</v>
      </c>
      <c r="C170" s="718" t="s">
        <v>2569</v>
      </c>
      <c r="D170" s="716" t="s">
        <v>1961</v>
      </c>
      <c r="E170" s="717"/>
      <c r="F170" s="717"/>
      <c r="G170" s="720"/>
      <c r="H170" s="716" t="s">
        <v>3</v>
      </c>
      <c r="I170" s="717"/>
      <c r="J170" s="636" t="s">
        <v>1962</v>
      </c>
      <c r="K170" s="637"/>
      <c r="L170" s="637"/>
      <c r="M170" s="637"/>
    </row>
    <row r="171" spans="1:13" s="152" customFormat="1" ht="34.5" customHeight="1" thickTop="1" thickBot="1" x14ac:dyDescent="0.3">
      <c r="A171" s="661"/>
      <c r="B171" s="719"/>
      <c r="C171" s="719"/>
      <c r="D171" s="512" t="s">
        <v>4</v>
      </c>
      <c r="E171" s="512" t="s">
        <v>5</v>
      </c>
      <c r="F171" s="512" t="s">
        <v>6</v>
      </c>
      <c r="G171" s="512" t="s">
        <v>7</v>
      </c>
      <c r="H171" s="512" t="s">
        <v>2</v>
      </c>
      <c r="I171" s="512" t="s">
        <v>3</v>
      </c>
      <c r="J171" s="493" t="s">
        <v>8</v>
      </c>
      <c r="K171" s="493" t="s">
        <v>9</v>
      </c>
      <c r="L171" s="493" t="s">
        <v>1963</v>
      </c>
      <c r="M171" s="513" t="s">
        <v>1964</v>
      </c>
    </row>
    <row r="172" spans="1:13" s="179" customFormat="1" ht="49.5" customHeight="1" thickTop="1" thickBot="1" x14ac:dyDescent="0.25">
      <c r="A172" s="503" t="s">
        <v>2554</v>
      </c>
      <c r="B172" s="503" t="s">
        <v>2551</v>
      </c>
      <c r="C172" s="651" t="s">
        <v>18</v>
      </c>
      <c r="D172" s="502">
        <v>2</v>
      </c>
      <c r="E172" s="502">
        <v>30</v>
      </c>
      <c r="F172" s="502">
        <v>3</v>
      </c>
      <c r="G172" s="502">
        <v>848</v>
      </c>
      <c r="H172" s="509">
        <v>423431472</v>
      </c>
      <c r="I172" s="504">
        <v>261360000</v>
      </c>
      <c r="J172" s="501" t="s">
        <v>1276</v>
      </c>
      <c r="K172" s="502" t="s">
        <v>20</v>
      </c>
      <c r="L172" s="502">
        <v>630</v>
      </c>
      <c r="M172" s="502">
        <v>630</v>
      </c>
    </row>
    <row r="173" spans="1:13" s="179" customFormat="1" ht="49.5" customHeight="1" thickTop="1" thickBot="1" x14ac:dyDescent="0.25">
      <c r="A173" s="628" t="s">
        <v>2554</v>
      </c>
      <c r="B173" s="628" t="s">
        <v>2551</v>
      </c>
      <c r="C173" s="653"/>
      <c r="D173" s="502">
        <v>2</v>
      </c>
      <c r="E173" s="502">
        <v>30</v>
      </c>
      <c r="F173" s="502">
        <v>3</v>
      </c>
      <c r="G173" s="502">
        <v>963</v>
      </c>
      <c r="H173" s="509">
        <v>90000000</v>
      </c>
      <c r="I173" s="504">
        <v>90000000</v>
      </c>
      <c r="J173" s="501" t="s">
        <v>1277</v>
      </c>
      <c r="K173" s="502" t="s">
        <v>16</v>
      </c>
      <c r="L173" s="502">
        <v>1</v>
      </c>
      <c r="M173" s="502">
        <v>1</v>
      </c>
    </row>
    <row r="174" spans="1:13" s="179" customFormat="1" ht="49.5" customHeight="1" thickTop="1" thickBot="1" x14ac:dyDescent="0.25">
      <c r="A174" s="628" t="s">
        <v>2554</v>
      </c>
      <c r="B174" s="628" t="s">
        <v>2551</v>
      </c>
      <c r="C174" s="654" t="s">
        <v>300</v>
      </c>
      <c r="D174" s="502">
        <v>2</v>
      </c>
      <c r="E174" s="502">
        <v>30</v>
      </c>
      <c r="F174" s="502">
        <v>3</v>
      </c>
      <c r="G174" s="502">
        <v>520</v>
      </c>
      <c r="H174" s="509">
        <f>1129694271-H175</f>
        <v>979694271</v>
      </c>
      <c r="I174" s="504">
        <v>473927989</v>
      </c>
      <c r="J174" s="508" t="s">
        <v>1278</v>
      </c>
      <c r="K174" s="502" t="s">
        <v>13</v>
      </c>
      <c r="L174" s="502">
        <v>12</v>
      </c>
      <c r="M174" s="502">
        <v>6.18</v>
      </c>
    </row>
    <row r="175" spans="1:13" s="179" customFormat="1" ht="49.5" customHeight="1" thickTop="1" thickBot="1" x14ac:dyDescent="0.25">
      <c r="A175" s="628" t="s">
        <v>2554</v>
      </c>
      <c r="B175" s="628" t="s">
        <v>2551</v>
      </c>
      <c r="C175" s="654"/>
      <c r="D175" s="502">
        <v>2</v>
      </c>
      <c r="E175" s="502">
        <v>30</v>
      </c>
      <c r="F175" s="502">
        <v>3</v>
      </c>
      <c r="G175" s="502">
        <v>520</v>
      </c>
      <c r="H175" s="509">
        <v>150000000</v>
      </c>
      <c r="I175" s="504">
        <v>0</v>
      </c>
      <c r="J175" s="501" t="s">
        <v>1279</v>
      </c>
      <c r="K175" s="502" t="s">
        <v>13</v>
      </c>
      <c r="L175" s="502">
        <v>1</v>
      </c>
      <c r="M175" s="502">
        <v>0</v>
      </c>
    </row>
    <row r="176" spans="1:13" s="179" customFormat="1" ht="49.5" customHeight="1" thickTop="1" thickBot="1" x14ac:dyDescent="0.25">
      <c r="A176" s="628" t="s">
        <v>2554</v>
      </c>
      <c r="B176" s="628" t="s">
        <v>2551</v>
      </c>
      <c r="C176" s="654"/>
      <c r="D176" s="502">
        <v>2</v>
      </c>
      <c r="E176" s="502">
        <v>30</v>
      </c>
      <c r="F176" s="502">
        <v>3</v>
      </c>
      <c r="G176" s="502">
        <v>540</v>
      </c>
      <c r="H176" s="509">
        <v>0</v>
      </c>
      <c r="I176" s="504">
        <v>0</v>
      </c>
      <c r="J176" s="501" t="s">
        <v>1280</v>
      </c>
      <c r="K176" s="502" t="s">
        <v>17</v>
      </c>
      <c r="L176" s="502">
        <v>8</v>
      </c>
      <c r="M176" s="502">
        <v>0</v>
      </c>
    </row>
    <row r="177" spans="1:13" s="179" customFormat="1" ht="49.5" customHeight="1" thickTop="1" thickBot="1" x14ac:dyDescent="0.25">
      <c r="A177" s="628" t="s">
        <v>2554</v>
      </c>
      <c r="B177" s="628" t="s">
        <v>2551</v>
      </c>
      <c r="C177" s="654"/>
      <c r="D177" s="502">
        <v>2</v>
      </c>
      <c r="E177" s="502">
        <v>30</v>
      </c>
      <c r="F177" s="502">
        <v>3</v>
      </c>
      <c r="G177" s="502">
        <v>580</v>
      </c>
      <c r="H177" s="509">
        <v>0</v>
      </c>
      <c r="I177" s="504">
        <v>0</v>
      </c>
      <c r="J177" s="501" t="s">
        <v>1281</v>
      </c>
      <c r="K177" s="502" t="s">
        <v>72</v>
      </c>
      <c r="L177" s="502">
        <v>4</v>
      </c>
      <c r="M177" s="502">
        <v>0</v>
      </c>
    </row>
    <row r="178" spans="1:13" s="179" customFormat="1" ht="49.5" customHeight="1" thickTop="1" thickBot="1" x14ac:dyDescent="0.25">
      <c r="A178" s="628" t="s">
        <v>2554</v>
      </c>
      <c r="B178" s="628" t="s">
        <v>2551</v>
      </c>
      <c r="C178" s="503" t="s">
        <v>2142</v>
      </c>
      <c r="D178" s="502">
        <v>2</v>
      </c>
      <c r="E178" s="502">
        <v>30</v>
      </c>
      <c r="F178" s="502">
        <v>3</v>
      </c>
      <c r="G178" s="502">
        <v>985</v>
      </c>
      <c r="H178" s="509">
        <v>68312500</v>
      </c>
      <c r="I178" s="504">
        <v>68312500</v>
      </c>
      <c r="J178" s="501" t="s">
        <v>1282</v>
      </c>
      <c r="K178" s="502" t="s">
        <v>16</v>
      </c>
      <c r="L178" s="502">
        <v>3</v>
      </c>
      <c r="M178" s="502">
        <v>3</v>
      </c>
    </row>
    <row r="179" spans="1:13" s="179" customFormat="1" ht="18" customHeight="1" thickTop="1" thickBot="1" x14ac:dyDescent="0.25">
      <c r="A179" s="158"/>
      <c r="B179" s="532"/>
      <c r="C179" s="532"/>
      <c r="D179" s="536"/>
      <c r="E179" s="536"/>
      <c r="F179" s="536"/>
      <c r="G179" s="536"/>
      <c r="H179" s="536"/>
      <c r="I179" s="536"/>
      <c r="J179" s="525"/>
      <c r="K179" s="165"/>
      <c r="L179" s="165"/>
      <c r="M179" s="165"/>
    </row>
    <row r="180" spans="1:13" s="152" customFormat="1" ht="30" customHeight="1" thickTop="1" thickBot="1" x14ac:dyDescent="0.3">
      <c r="A180" s="639" t="s">
        <v>0</v>
      </c>
      <c r="B180" s="718" t="s">
        <v>1</v>
      </c>
      <c r="C180" s="718" t="s">
        <v>2569</v>
      </c>
      <c r="D180" s="716" t="s">
        <v>1961</v>
      </c>
      <c r="E180" s="717"/>
      <c r="F180" s="717"/>
      <c r="G180" s="720"/>
      <c r="H180" s="716" t="s">
        <v>3</v>
      </c>
      <c r="I180" s="717"/>
      <c r="J180" s="636" t="s">
        <v>1962</v>
      </c>
      <c r="K180" s="637"/>
      <c r="L180" s="637"/>
      <c r="M180" s="637"/>
    </row>
    <row r="181" spans="1:13" s="152" customFormat="1" ht="34.5" customHeight="1" thickTop="1" thickBot="1" x14ac:dyDescent="0.3">
      <c r="A181" s="661"/>
      <c r="B181" s="719"/>
      <c r="C181" s="719"/>
      <c r="D181" s="512" t="s">
        <v>4</v>
      </c>
      <c r="E181" s="512" t="s">
        <v>5</v>
      </c>
      <c r="F181" s="512" t="s">
        <v>6</v>
      </c>
      <c r="G181" s="512" t="s">
        <v>7</v>
      </c>
      <c r="H181" s="512" t="s">
        <v>2</v>
      </c>
      <c r="I181" s="512" t="s">
        <v>3</v>
      </c>
      <c r="J181" s="493" t="s">
        <v>8</v>
      </c>
      <c r="K181" s="493" t="s">
        <v>9</v>
      </c>
      <c r="L181" s="493" t="s">
        <v>1963</v>
      </c>
      <c r="M181" s="513" t="s">
        <v>1964</v>
      </c>
    </row>
    <row r="182" spans="1:13" s="179" customFormat="1" ht="46.5" thickTop="1" thickBot="1" x14ac:dyDescent="0.25">
      <c r="A182" s="503" t="s">
        <v>1349</v>
      </c>
      <c r="B182" s="503" t="s">
        <v>2551</v>
      </c>
      <c r="C182" s="651" t="s">
        <v>18</v>
      </c>
      <c r="D182" s="502">
        <v>3</v>
      </c>
      <c r="E182" s="502">
        <v>30</v>
      </c>
      <c r="F182" s="502">
        <v>3</v>
      </c>
      <c r="G182" s="502">
        <v>848</v>
      </c>
      <c r="H182" s="509">
        <f>197309349+320000000</f>
        <v>517309349</v>
      </c>
      <c r="I182" s="504">
        <f>197309349+318947923</f>
        <v>516257272</v>
      </c>
      <c r="J182" s="501" t="s">
        <v>1312</v>
      </c>
      <c r="K182" s="502" t="s">
        <v>20</v>
      </c>
      <c r="L182" s="502">
        <v>400</v>
      </c>
      <c r="M182" s="502">
        <v>400</v>
      </c>
    </row>
    <row r="183" spans="1:13" s="179" customFormat="1" ht="46.5" thickTop="1" thickBot="1" x14ac:dyDescent="0.25">
      <c r="A183" s="503" t="s">
        <v>1349</v>
      </c>
      <c r="B183" s="628" t="s">
        <v>2551</v>
      </c>
      <c r="C183" s="653"/>
      <c r="D183" s="502">
        <v>3</v>
      </c>
      <c r="E183" s="502">
        <v>30</v>
      </c>
      <c r="F183" s="502">
        <v>3</v>
      </c>
      <c r="G183" s="502">
        <v>960</v>
      </c>
      <c r="H183" s="509">
        <v>113135375</v>
      </c>
      <c r="I183" s="504">
        <v>113135375</v>
      </c>
      <c r="J183" s="501" t="s">
        <v>1283</v>
      </c>
      <c r="K183" s="502" t="s">
        <v>16</v>
      </c>
      <c r="L183" s="502">
        <v>1</v>
      </c>
      <c r="M183" s="502">
        <v>1</v>
      </c>
    </row>
    <row r="184" spans="1:13" s="179" customFormat="1" ht="28.5" customHeight="1" thickTop="1" thickBot="1" x14ac:dyDescent="0.25">
      <c r="A184" s="503" t="s">
        <v>1349</v>
      </c>
      <c r="B184" s="628" t="s">
        <v>2551</v>
      </c>
      <c r="C184" s="654" t="s">
        <v>179</v>
      </c>
      <c r="D184" s="502">
        <v>3</v>
      </c>
      <c r="E184" s="502">
        <v>30</v>
      </c>
      <c r="F184" s="502">
        <v>3</v>
      </c>
      <c r="G184" s="502">
        <v>520</v>
      </c>
      <c r="H184" s="509">
        <v>82000000</v>
      </c>
      <c r="I184" s="504">
        <v>82000000</v>
      </c>
      <c r="J184" s="501" t="s">
        <v>1284</v>
      </c>
      <c r="K184" s="502" t="s">
        <v>55</v>
      </c>
      <c r="L184" s="500">
        <v>1</v>
      </c>
      <c r="M184" s="500">
        <v>1</v>
      </c>
    </row>
    <row r="185" spans="1:13" s="179" customFormat="1" ht="28.5" customHeight="1" thickTop="1" thickBot="1" x14ac:dyDescent="0.25">
      <c r="A185" s="503" t="s">
        <v>1349</v>
      </c>
      <c r="B185" s="628" t="s">
        <v>2551</v>
      </c>
      <c r="C185" s="654"/>
      <c r="D185" s="502">
        <v>3</v>
      </c>
      <c r="E185" s="502">
        <v>30</v>
      </c>
      <c r="F185" s="502">
        <v>3</v>
      </c>
      <c r="G185" s="502">
        <v>520</v>
      </c>
      <c r="H185" s="509">
        <v>42000000</v>
      </c>
      <c r="I185" s="504">
        <v>42000000</v>
      </c>
      <c r="J185" s="501" t="s">
        <v>1285</v>
      </c>
      <c r="K185" s="502" t="s">
        <v>25</v>
      </c>
      <c r="L185" s="500">
        <v>1</v>
      </c>
      <c r="M185" s="500">
        <v>1</v>
      </c>
    </row>
    <row r="186" spans="1:13" s="179" customFormat="1" ht="28.5" customHeight="1" thickTop="1" thickBot="1" x14ac:dyDescent="0.25">
      <c r="A186" s="503" t="s">
        <v>1349</v>
      </c>
      <c r="B186" s="628" t="s">
        <v>2551</v>
      </c>
      <c r="C186" s="654"/>
      <c r="D186" s="502">
        <v>3</v>
      </c>
      <c r="E186" s="502">
        <v>30</v>
      </c>
      <c r="F186" s="502">
        <v>3</v>
      </c>
      <c r="G186" s="502">
        <v>520</v>
      </c>
      <c r="H186" s="509">
        <v>82000000</v>
      </c>
      <c r="I186" s="504">
        <v>82000000</v>
      </c>
      <c r="J186" s="501" t="s">
        <v>1286</v>
      </c>
      <c r="K186" s="502" t="s">
        <v>55</v>
      </c>
      <c r="L186" s="500">
        <v>1</v>
      </c>
      <c r="M186" s="500">
        <v>1</v>
      </c>
    </row>
    <row r="187" spans="1:13" s="179" customFormat="1" ht="39" customHeight="1" thickTop="1" thickBot="1" x14ac:dyDescent="0.25">
      <c r="A187" s="503" t="s">
        <v>1349</v>
      </c>
      <c r="B187" s="628" t="s">
        <v>2551</v>
      </c>
      <c r="C187" s="654"/>
      <c r="D187" s="502">
        <v>3</v>
      </c>
      <c r="E187" s="502">
        <v>30</v>
      </c>
      <c r="F187" s="502">
        <v>3</v>
      </c>
      <c r="G187" s="502">
        <v>520</v>
      </c>
      <c r="H187" s="509">
        <v>139020000</v>
      </c>
      <c r="I187" s="504">
        <v>139020000</v>
      </c>
      <c r="J187" s="501" t="s">
        <v>1287</v>
      </c>
      <c r="K187" s="502" t="s">
        <v>13</v>
      </c>
      <c r="L187" s="500">
        <v>1</v>
      </c>
      <c r="M187" s="500">
        <v>1</v>
      </c>
    </row>
    <row r="188" spans="1:13" s="179" customFormat="1" ht="39" customHeight="1" thickTop="1" thickBot="1" x14ac:dyDescent="0.25">
      <c r="A188" s="503" t="s">
        <v>1349</v>
      </c>
      <c r="B188" s="628" t="s">
        <v>2551</v>
      </c>
      <c r="C188" s="654"/>
      <c r="D188" s="502">
        <v>3</v>
      </c>
      <c r="E188" s="502">
        <v>30</v>
      </c>
      <c r="F188" s="502">
        <v>3</v>
      </c>
      <c r="G188" s="502">
        <v>520</v>
      </c>
      <c r="H188" s="509">
        <v>750000</v>
      </c>
      <c r="I188" s="504">
        <v>750000</v>
      </c>
      <c r="J188" s="501" t="s">
        <v>1288</v>
      </c>
      <c r="K188" s="502" t="s">
        <v>13</v>
      </c>
      <c r="L188" s="500">
        <v>1</v>
      </c>
      <c r="M188" s="500">
        <v>1</v>
      </c>
    </row>
    <row r="189" spans="1:13" s="179" customFormat="1" ht="36.75" customHeight="1" thickTop="1" thickBot="1" x14ac:dyDescent="0.25">
      <c r="A189" s="503" t="s">
        <v>1349</v>
      </c>
      <c r="B189" s="628" t="s">
        <v>2551</v>
      </c>
      <c r="C189" s="654"/>
      <c r="D189" s="502">
        <v>3</v>
      </c>
      <c r="E189" s="502">
        <v>30</v>
      </c>
      <c r="F189" s="502">
        <v>3</v>
      </c>
      <c r="G189" s="502">
        <v>520</v>
      </c>
      <c r="H189" s="509">
        <v>4410000</v>
      </c>
      <c r="I189" s="504">
        <v>4410000</v>
      </c>
      <c r="J189" s="501" t="s">
        <v>1289</v>
      </c>
      <c r="K189" s="502" t="s">
        <v>13</v>
      </c>
      <c r="L189" s="500">
        <v>1</v>
      </c>
      <c r="M189" s="500">
        <v>1</v>
      </c>
    </row>
    <row r="190" spans="1:13" s="179" customFormat="1" ht="49.5" customHeight="1" thickTop="1" thickBot="1" x14ac:dyDescent="0.25">
      <c r="A190" s="503" t="s">
        <v>1349</v>
      </c>
      <c r="B190" s="628" t="s">
        <v>2551</v>
      </c>
      <c r="C190" s="654"/>
      <c r="D190" s="502">
        <v>3</v>
      </c>
      <c r="E190" s="502">
        <v>30</v>
      </c>
      <c r="F190" s="502">
        <v>3</v>
      </c>
      <c r="G190" s="502">
        <v>520</v>
      </c>
      <c r="H190" s="509">
        <v>914691024</v>
      </c>
      <c r="I190" s="504">
        <v>0</v>
      </c>
      <c r="J190" s="501" t="s">
        <v>1290</v>
      </c>
      <c r="K190" s="502" t="s">
        <v>13</v>
      </c>
      <c r="L190" s="500">
        <v>10</v>
      </c>
      <c r="M190" s="500">
        <v>0</v>
      </c>
    </row>
    <row r="191" spans="1:13" s="179" customFormat="1" ht="49.5" customHeight="1" thickTop="1" thickBot="1" x14ac:dyDescent="0.25">
      <c r="A191" s="503" t="s">
        <v>1349</v>
      </c>
      <c r="B191" s="628" t="s">
        <v>2551</v>
      </c>
      <c r="C191" s="654"/>
      <c r="D191" s="502">
        <v>3</v>
      </c>
      <c r="E191" s="502">
        <v>30</v>
      </c>
      <c r="F191" s="502">
        <v>3</v>
      </c>
      <c r="G191" s="502">
        <v>520</v>
      </c>
      <c r="H191" s="509">
        <f>82500000+137000000</f>
        <v>219500000</v>
      </c>
      <c r="I191" s="504">
        <f>82500000+137000000</f>
        <v>219500000</v>
      </c>
      <c r="J191" s="501" t="s">
        <v>1291</v>
      </c>
      <c r="K191" s="502" t="s">
        <v>13</v>
      </c>
      <c r="L191" s="500">
        <v>1</v>
      </c>
      <c r="M191" s="500">
        <v>1</v>
      </c>
    </row>
    <row r="192" spans="1:13" s="179" customFormat="1" ht="17.25" customHeight="1" thickTop="1" thickBot="1" x14ac:dyDescent="0.25">
      <c r="A192" s="158"/>
      <c r="B192" s="532"/>
      <c r="C192" s="532"/>
      <c r="D192" s="533"/>
      <c r="E192" s="533"/>
      <c r="F192" s="533"/>
      <c r="G192" s="533"/>
      <c r="H192" s="534"/>
      <c r="I192" s="534"/>
      <c r="J192" s="525"/>
      <c r="K192" s="165"/>
      <c r="L192" s="164"/>
      <c r="M192" s="537"/>
    </row>
    <row r="193" spans="1:13" s="152" customFormat="1" ht="30" customHeight="1" thickTop="1" thickBot="1" x14ac:dyDescent="0.3">
      <c r="A193" s="639" t="s">
        <v>0</v>
      </c>
      <c r="B193" s="718" t="s">
        <v>1</v>
      </c>
      <c r="C193" s="718" t="s">
        <v>2569</v>
      </c>
      <c r="D193" s="716" t="s">
        <v>1961</v>
      </c>
      <c r="E193" s="717"/>
      <c r="F193" s="717"/>
      <c r="G193" s="720"/>
      <c r="H193" s="716" t="s">
        <v>3</v>
      </c>
      <c r="I193" s="717"/>
      <c r="J193" s="636" t="s">
        <v>1962</v>
      </c>
      <c r="K193" s="637"/>
      <c r="L193" s="637"/>
      <c r="M193" s="638"/>
    </row>
    <row r="194" spans="1:13" s="152" customFormat="1" ht="34.5" customHeight="1" thickTop="1" thickBot="1" x14ac:dyDescent="0.3">
      <c r="A194" s="661"/>
      <c r="B194" s="719"/>
      <c r="C194" s="719"/>
      <c r="D194" s="512" t="s">
        <v>4</v>
      </c>
      <c r="E194" s="512" t="s">
        <v>5</v>
      </c>
      <c r="F194" s="512" t="s">
        <v>6</v>
      </c>
      <c r="G194" s="512" t="s">
        <v>7</v>
      </c>
      <c r="H194" s="512" t="s">
        <v>2</v>
      </c>
      <c r="I194" s="512" t="s">
        <v>3</v>
      </c>
      <c r="J194" s="209" t="s">
        <v>8</v>
      </c>
      <c r="K194" s="209" t="s">
        <v>9</v>
      </c>
      <c r="L194" s="209" t="s">
        <v>1963</v>
      </c>
      <c r="M194" s="209" t="s">
        <v>1964</v>
      </c>
    </row>
    <row r="195" spans="1:13" s="179" customFormat="1" ht="47.25" customHeight="1" thickTop="1" thickBot="1" x14ac:dyDescent="0.25">
      <c r="A195" s="503" t="s">
        <v>1350</v>
      </c>
      <c r="B195" s="628" t="s">
        <v>2551</v>
      </c>
      <c r="C195" s="503" t="s">
        <v>18</v>
      </c>
      <c r="D195" s="505">
        <v>2</v>
      </c>
      <c r="E195" s="297">
        <v>30</v>
      </c>
      <c r="F195" s="297">
        <v>3</v>
      </c>
      <c r="G195" s="505">
        <v>848</v>
      </c>
      <c r="H195" s="509">
        <v>314538641</v>
      </c>
      <c r="I195" s="504">
        <v>194126000</v>
      </c>
      <c r="J195" s="254" t="s">
        <v>1292</v>
      </c>
      <c r="K195" s="502" t="s">
        <v>20</v>
      </c>
      <c r="L195" s="503">
        <v>120</v>
      </c>
      <c r="M195" s="503">
        <v>120</v>
      </c>
    </row>
    <row r="196" spans="1:13" s="179" customFormat="1" ht="39.75" customHeight="1" thickTop="1" thickBot="1" x14ac:dyDescent="0.25">
      <c r="A196" s="503" t="s">
        <v>1350</v>
      </c>
      <c r="B196" s="628" t="s">
        <v>2551</v>
      </c>
      <c r="C196" s="654" t="s">
        <v>179</v>
      </c>
      <c r="D196" s="505">
        <v>2</v>
      </c>
      <c r="E196" s="297">
        <v>30</v>
      </c>
      <c r="F196" s="297">
        <v>3</v>
      </c>
      <c r="G196" s="505">
        <v>520</v>
      </c>
      <c r="H196" s="509">
        <v>190000000</v>
      </c>
      <c r="I196" s="504">
        <f>95000000+28502000+57000000</f>
        <v>180502000</v>
      </c>
      <c r="J196" s="508" t="s">
        <v>1293</v>
      </c>
      <c r="K196" s="502" t="s">
        <v>595</v>
      </c>
      <c r="L196" s="503">
        <v>1</v>
      </c>
      <c r="M196" s="503">
        <v>1</v>
      </c>
    </row>
    <row r="197" spans="1:13" s="179" customFormat="1" ht="39.75" customHeight="1" thickTop="1" thickBot="1" x14ac:dyDescent="0.25">
      <c r="A197" s="503" t="s">
        <v>1350</v>
      </c>
      <c r="B197" s="628" t="s">
        <v>2551</v>
      </c>
      <c r="C197" s="654"/>
      <c r="D197" s="505">
        <v>2</v>
      </c>
      <c r="E197" s="297">
        <v>30</v>
      </c>
      <c r="F197" s="297">
        <v>3</v>
      </c>
      <c r="G197" s="505">
        <v>520</v>
      </c>
      <c r="H197" s="509">
        <v>164931068</v>
      </c>
      <c r="I197" s="504">
        <v>0</v>
      </c>
      <c r="J197" s="508" t="s">
        <v>1294</v>
      </c>
      <c r="K197" s="502" t="s">
        <v>13</v>
      </c>
      <c r="L197" s="503">
        <v>1</v>
      </c>
      <c r="M197" s="503">
        <v>0</v>
      </c>
    </row>
    <row r="198" spans="1:13" s="179" customFormat="1" ht="39.75" customHeight="1" thickTop="1" thickBot="1" x14ac:dyDescent="0.25">
      <c r="A198" s="503" t="s">
        <v>1350</v>
      </c>
      <c r="B198" s="628" t="s">
        <v>2551</v>
      </c>
      <c r="C198" s="654"/>
      <c r="D198" s="505">
        <v>2</v>
      </c>
      <c r="E198" s="297">
        <v>30</v>
      </c>
      <c r="F198" s="297">
        <v>3</v>
      </c>
      <c r="G198" s="505">
        <v>520</v>
      </c>
      <c r="H198" s="509">
        <v>138500000</v>
      </c>
      <c r="I198" s="504">
        <f>69250000+69250000</f>
        <v>138500000</v>
      </c>
      <c r="J198" s="508" t="s">
        <v>1295</v>
      </c>
      <c r="K198" s="502" t="s">
        <v>13</v>
      </c>
      <c r="L198" s="503">
        <v>2</v>
      </c>
      <c r="M198" s="503">
        <v>2</v>
      </c>
    </row>
    <row r="199" spans="1:13" s="179" customFormat="1" ht="39.75" customHeight="1" thickTop="1" thickBot="1" x14ac:dyDescent="0.25">
      <c r="A199" s="503" t="s">
        <v>1350</v>
      </c>
      <c r="B199" s="628" t="s">
        <v>2551</v>
      </c>
      <c r="C199" s="654"/>
      <c r="D199" s="505">
        <v>2</v>
      </c>
      <c r="E199" s="297">
        <v>30</v>
      </c>
      <c r="F199" s="297">
        <v>3</v>
      </c>
      <c r="G199" s="505">
        <v>520</v>
      </c>
      <c r="H199" s="509">
        <v>200000000</v>
      </c>
      <c r="I199" s="504">
        <f>10590000+20210000+28502685</f>
        <v>59302685</v>
      </c>
      <c r="J199" s="508" t="s">
        <v>1296</v>
      </c>
      <c r="K199" s="502" t="s">
        <v>25</v>
      </c>
      <c r="L199" s="503">
        <v>3</v>
      </c>
      <c r="M199" s="503">
        <v>1</v>
      </c>
    </row>
    <row r="200" spans="1:13" s="179" customFormat="1" ht="39.75" customHeight="1" thickTop="1" thickBot="1" x14ac:dyDescent="0.25">
      <c r="A200" s="503" t="s">
        <v>1350</v>
      </c>
      <c r="B200" s="628" t="s">
        <v>2551</v>
      </c>
      <c r="C200" s="654"/>
      <c r="D200" s="505">
        <v>2</v>
      </c>
      <c r="E200" s="297">
        <v>30</v>
      </c>
      <c r="F200" s="297">
        <v>3</v>
      </c>
      <c r="G200" s="505">
        <v>520</v>
      </c>
      <c r="H200" s="509">
        <f>25854997+14637430</f>
        <v>40492427</v>
      </c>
      <c r="I200" s="504">
        <v>0</v>
      </c>
      <c r="J200" s="254" t="s">
        <v>1297</v>
      </c>
      <c r="K200" s="502" t="s">
        <v>13</v>
      </c>
      <c r="L200" s="503">
        <v>1</v>
      </c>
      <c r="M200" s="503">
        <v>0</v>
      </c>
    </row>
    <row r="201" spans="1:13" s="179" customFormat="1" ht="16.5" customHeight="1" thickTop="1" thickBot="1" x14ac:dyDescent="0.25">
      <c r="A201" s="158"/>
      <c r="B201" s="158"/>
      <c r="C201" s="158"/>
      <c r="D201" s="538"/>
      <c r="E201" s="472"/>
      <c r="F201" s="472"/>
      <c r="G201" s="538"/>
      <c r="H201" s="164"/>
      <c r="I201" s="164"/>
      <c r="J201" s="539"/>
      <c r="K201" s="165"/>
      <c r="L201" s="158"/>
      <c r="M201" s="540"/>
    </row>
    <row r="202" spans="1:13" s="152" customFormat="1" ht="30" customHeight="1" thickTop="1" thickBot="1" x14ac:dyDescent="0.3">
      <c r="A202" s="639" t="s">
        <v>0</v>
      </c>
      <c r="B202" s="639" t="s">
        <v>1</v>
      </c>
      <c r="C202" s="639" t="s">
        <v>2569</v>
      </c>
      <c r="D202" s="636" t="s">
        <v>1961</v>
      </c>
      <c r="E202" s="637"/>
      <c r="F202" s="637"/>
      <c r="G202" s="638"/>
      <c r="H202" s="636" t="s">
        <v>3</v>
      </c>
      <c r="I202" s="637"/>
      <c r="J202" s="636" t="s">
        <v>1962</v>
      </c>
      <c r="K202" s="637"/>
      <c r="L202" s="637"/>
      <c r="M202" s="721"/>
    </row>
    <row r="203" spans="1:13" s="152" customFormat="1" ht="36" customHeight="1" thickTop="1" thickBot="1" x14ac:dyDescent="0.3">
      <c r="A203" s="661"/>
      <c r="B203" s="661"/>
      <c r="C203" s="661"/>
      <c r="D203" s="493" t="s">
        <v>4</v>
      </c>
      <c r="E203" s="493" t="s">
        <v>5</v>
      </c>
      <c r="F203" s="493" t="s">
        <v>6</v>
      </c>
      <c r="G203" s="493" t="s">
        <v>7</v>
      </c>
      <c r="H203" s="493" t="s">
        <v>2</v>
      </c>
      <c r="I203" s="493" t="s">
        <v>3</v>
      </c>
      <c r="J203" s="493" t="s">
        <v>8</v>
      </c>
      <c r="K203" s="493" t="s">
        <v>9</v>
      </c>
      <c r="L203" s="493" t="s">
        <v>1963</v>
      </c>
      <c r="M203" s="514" t="s">
        <v>1964</v>
      </c>
    </row>
    <row r="204" spans="1:13" s="179" customFormat="1" ht="46.5" thickTop="1" thickBot="1" x14ac:dyDescent="0.25">
      <c r="A204" s="503" t="s">
        <v>1351</v>
      </c>
      <c r="B204" s="628" t="s">
        <v>2551</v>
      </c>
      <c r="C204" s="503" t="s">
        <v>18</v>
      </c>
      <c r="D204" s="502">
        <v>3</v>
      </c>
      <c r="E204" s="502">
        <v>30</v>
      </c>
      <c r="F204" s="502">
        <v>3</v>
      </c>
      <c r="G204" s="502">
        <v>848</v>
      </c>
      <c r="H204" s="509">
        <v>350428336</v>
      </c>
      <c r="I204" s="504">
        <v>324750000</v>
      </c>
      <c r="J204" s="501" t="s">
        <v>1298</v>
      </c>
      <c r="K204" s="502" t="s">
        <v>20</v>
      </c>
      <c r="L204" s="500">
        <v>502</v>
      </c>
      <c r="M204" s="500">
        <v>502</v>
      </c>
    </row>
    <row r="205" spans="1:13" s="179" customFormat="1" ht="38.25" customHeight="1" thickTop="1" thickBot="1" x14ac:dyDescent="0.25">
      <c r="A205" s="503" t="s">
        <v>1351</v>
      </c>
      <c r="B205" s="628" t="s">
        <v>2551</v>
      </c>
      <c r="C205" s="654" t="s">
        <v>53</v>
      </c>
      <c r="D205" s="502">
        <v>3</v>
      </c>
      <c r="E205" s="502">
        <v>30</v>
      </c>
      <c r="F205" s="502">
        <v>3</v>
      </c>
      <c r="G205" s="502">
        <v>520</v>
      </c>
      <c r="H205" s="509">
        <v>304746972</v>
      </c>
      <c r="I205" s="504">
        <v>0</v>
      </c>
      <c r="J205" s="501" t="s">
        <v>1299</v>
      </c>
      <c r="K205" s="502" t="s">
        <v>55</v>
      </c>
      <c r="L205" s="500">
        <v>4</v>
      </c>
      <c r="M205" s="500">
        <v>0</v>
      </c>
    </row>
    <row r="206" spans="1:13" s="179" customFormat="1" ht="27" customHeight="1" thickTop="1" thickBot="1" x14ac:dyDescent="0.25">
      <c r="A206" s="503" t="s">
        <v>1351</v>
      </c>
      <c r="B206" s="628" t="s">
        <v>2551</v>
      </c>
      <c r="C206" s="654"/>
      <c r="D206" s="502">
        <v>3</v>
      </c>
      <c r="E206" s="502">
        <v>30</v>
      </c>
      <c r="F206" s="502">
        <v>3</v>
      </c>
      <c r="G206" s="502">
        <v>520</v>
      </c>
      <c r="H206" s="509">
        <v>93797600</v>
      </c>
      <c r="I206" s="504">
        <v>93797600</v>
      </c>
      <c r="J206" s="501" t="s">
        <v>1300</v>
      </c>
      <c r="K206" s="502" t="s">
        <v>55</v>
      </c>
      <c r="L206" s="500">
        <v>1</v>
      </c>
      <c r="M206" s="500">
        <v>1</v>
      </c>
    </row>
    <row r="207" spans="1:13" s="179" customFormat="1" ht="35.25" thickTop="1" thickBot="1" x14ac:dyDescent="0.25">
      <c r="A207" s="503" t="s">
        <v>1351</v>
      </c>
      <c r="B207" s="628" t="s">
        <v>2551</v>
      </c>
      <c r="C207" s="654"/>
      <c r="D207" s="502">
        <v>3</v>
      </c>
      <c r="E207" s="502">
        <v>30</v>
      </c>
      <c r="F207" s="502">
        <v>3</v>
      </c>
      <c r="G207" s="502">
        <v>520</v>
      </c>
      <c r="H207" s="509">
        <v>280000000</v>
      </c>
      <c r="I207" s="504">
        <v>0</v>
      </c>
      <c r="J207" s="501" t="s">
        <v>1301</v>
      </c>
      <c r="K207" s="502" t="s">
        <v>495</v>
      </c>
      <c r="L207" s="500">
        <v>2</v>
      </c>
      <c r="M207" s="500">
        <v>0</v>
      </c>
    </row>
    <row r="208" spans="1:13" s="179" customFormat="1" ht="35.25" thickTop="1" thickBot="1" x14ac:dyDescent="0.25">
      <c r="A208" s="503" t="s">
        <v>1351</v>
      </c>
      <c r="B208" s="628" t="s">
        <v>2551</v>
      </c>
      <c r="C208" s="654"/>
      <c r="D208" s="502">
        <v>3</v>
      </c>
      <c r="E208" s="502">
        <v>30</v>
      </c>
      <c r="F208" s="502">
        <v>3</v>
      </c>
      <c r="G208" s="502">
        <v>520</v>
      </c>
      <c r="H208" s="509">
        <v>116321549</v>
      </c>
      <c r="I208" s="504">
        <v>61202400</v>
      </c>
      <c r="J208" s="501" t="s">
        <v>1302</v>
      </c>
      <c r="K208" s="502" t="s">
        <v>55</v>
      </c>
      <c r="L208" s="500">
        <v>5</v>
      </c>
      <c r="M208" s="500">
        <v>3</v>
      </c>
    </row>
    <row r="209" spans="1:13" s="179" customFormat="1" ht="46.5" thickTop="1" thickBot="1" x14ac:dyDescent="0.25">
      <c r="A209" s="503" t="s">
        <v>1351</v>
      </c>
      <c r="B209" s="628" t="s">
        <v>2551</v>
      </c>
      <c r="C209" s="503" t="s">
        <v>440</v>
      </c>
      <c r="D209" s="502">
        <v>3</v>
      </c>
      <c r="E209" s="502">
        <v>30</v>
      </c>
      <c r="F209" s="502">
        <v>3</v>
      </c>
      <c r="G209" s="502">
        <v>520</v>
      </c>
      <c r="H209" s="509">
        <v>22800000</v>
      </c>
      <c r="I209" s="504">
        <v>22800000</v>
      </c>
      <c r="J209" s="501" t="s">
        <v>1303</v>
      </c>
      <c r="K209" s="502" t="s">
        <v>13</v>
      </c>
      <c r="L209" s="500">
        <v>1</v>
      </c>
      <c r="M209" s="500">
        <v>1</v>
      </c>
    </row>
    <row r="210" spans="1:13" s="179" customFormat="1" ht="15" customHeight="1" thickTop="1" thickBot="1" x14ac:dyDescent="0.25">
      <c r="A210" s="158"/>
      <c r="B210" s="158"/>
      <c r="C210" s="158"/>
      <c r="D210" s="165"/>
      <c r="E210" s="165"/>
      <c r="F210" s="165"/>
      <c r="G210" s="165"/>
      <c r="H210" s="164"/>
      <c r="I210" s="164"/>
      <c r="J210" s="525"/>
      <c r="K210" s="165"/>
      <c r="L210" s="164"/>
      <c r="M210" s="164"/>
    </row>
    <row r="211" spans="1:13" s="152" customFormat="1" ht="30" customHeight="1" thickTop="1" thickBot="1" x14ac:dyDescent="0.3">
      <c r="A211" s="639" t="s">
        <v>0</v>
      </c>
      <c r="B211" s="639" t="s">
        <v>1</v>
      </c>
      <c r="C211" s="639" t="s">
        <v>2569</v>
      </c>
      <c r="D211" s="636" t="s">
        <v>1961</v>
      </c>
      <c r="E211" s="637"/>
      <c r="F211" s="637"/>
      <c r="G211" s="638"/>
      <c r="H211" s="636" t="s">
        <v>3</v>
      </c>
      <c r="I211" s="637"/>
      <c r="J211" s="636" t="s">
        <v>1962</v>
      </c>
      <c r="K211" s="637"/>
      <c r="L211" s="637"/>
      <c r="M211" s="637"/>
    </row>
    <row r="212" spans="1:13" s="152" customFormat="1" ht="35.25" customHeight="1" thickTop="1" thickBot="1" x14ac:dyDescent="0.3">
      <c r="A212" s="661"/>
      <c r="B212" s="661"/>
      <c r="C212" s="661"/>
      <c r="D212" s="493" t="s">
        <v>4</v>
      </c>
      <c r="E212" s="493" t="s">
        <v>5</v>
      </c>
      <c r="F212" s="493" t="s">
        <v>6</v>
      </c>
      <c r="G212" s="493" t="s">
        <v>7</v>
      </c>
      <c r="H212" s="493" t="s">
        <v>2</v>
      </c>
      <c r="I212" s="493" t="s">
        <v>3</v>
      </c>
      <c r="J212" s="493" t="s">
        <v>8</v>
      </c>
      <c r="K212" s="493" t="s">
        <v>9</v>
      </c>
      <c r="L212" s="493" t="s">
        <v>1963</v>
      </c>
      <c r="M212" s="513" t="s">
        <v>1964</v>
      </c>
    </row>
    <row r="213" spans="1:13" s="179" customFormat="1" ht="49.5" customHeight="1" thickTop="1" thickBot="1" x14ac:dyDescent="0.25">
      <c r="A213" s="503" t="s">
        <v>1352</v>
      </c>
      <c r="B213" s="503" t="s">
        <v>2551</v>
      </c>
      <c r="C213" s="503" t="s">
        <v>18</v>
      </c>
      <c r="D213" s="502">
        <v>3</v>
      </c>
      <c r="E213" s="502">
        <v>30</v>
      </c>
      <c r="F213" s="502">
        <v>3</v>
      </c>
      <c r="G213" s="502">
        <v>848</v>
      </c>
      <c r="H213" s="509">
        <v>475902178</v>
      </c>
      <c r="I213" s="504">
        <v>420026000</v>
      </c>
      <c r="J213" s="508" t="s">
        <v>1304</v>
      </c>
      <c r="K213" s="502" t="s">
        <v>20</v>
      </c>
      <c r="L213" s="502">
        <v>238</v>
      </c>
      <c r="M213" s="502">
        <v>210</v>
      </c>
    </row>
    <row r="214" spans="1:13" s="179" customFormat="1" ht="33" customHeight="1" thickTop="1" thickBot="1" x14ac:dyDescent="0.25">
      <c r="A214" s="503" t="s">
        <v>1352</v>
      </c>
      <c r="B214" s="628" t="s">
        <v>2551</v>
      </c>
      <c r="C214" s="651" t="s">
        <v>53</v>
      </c>
      <c r="D214" s="502">
        <v>3</v>
      </c>
      <c r="E214" s="502">
        <v>30</v>
      </c>
      <c r="F214" s="502">
        <v>3</v>
      </c>
      <c r="G214" s="502">
        <v>520</v>
      </c>
      <c r="H214" s="509">
        <v>100000000</v>
      </c>
      <c r="I214" s="504">
        <v>0</v>
      </c>
      <c r="J214" s="508" t="s">
        <v>2144</v>
      </c>
      <c r="K214" s="502" t="s">
        <v>410</v>
      </c>
      <c r="L214" s="502">
        <v>3</v>
      </c>
      <c r="M214" s="502">
        <v>0</v>
      </c>
    </row>
    <row r="215" spans="1:13" s="179" customFormat="1" ht="60" customHeight="1" thickTop="1" thickBot="1" x14ac:dyDescent="0.25">
      <c r="A215" s="503" t="s">
        <v>1352</v>
      </c>
      <c r="B215" s="628" t="s">
        <v>2551</v>
      </c>
      <c r="C215" s="652"/>
      <c r="D215" s="502">
        <v>3</v>
      </c>
      <c r="E215" s="502">
        <v>30</v>
      </c>
      <c r="F215" s="502">
        <v>3</v>
      </c>
      <c r="G215" s="502">
        <v>520</v>
      </c>
      <c r="H215" s="509">
        <v>280000000</v>
      </c>
      <c r="I215" s="504">
        <v>280000000</v>
      </c>
      <c r="J215" s="508" t="s">
        <v>2145</v>
      </c>
      <c r="K215" s="502" t="s">
        <v>13</v>
      </c>
      <c r="L215" s="502">
        <v>2</v>
      </c>
      <c r="M215" s="502">
        <v>2</v>
      </c>
    </row>
    <row r="216" spans="1:13" s="179" customFormat="1" ht="33" customHeight="1" thickTop="1" thickBot="1" x14ac:dyDescent="0.25">
      <c r="A216" s="503" t="s">
        <v>1352</v>
      </c>
      <c r="B216" s="628" t="s">
        <v>2551</v>
      </c>
      <c r="C216" s="652"/>
      <c r="D216" s="502">
        <v>3</v>
      </c>
      <c r="E216" s="502">
        <v>30</v>
      </c>
      <c r="F216" s="502">
        <v>3</v>
      </c>
      <c r="G216" s="502">
        <v>520</v>
      </c>
      <c r="H216" s="509">
        <v>100000000</v>
      </c>
      <c r="I216" s="504">
        <v>0</v>
      </c>
      <c r="J216" s="508" t="s">
        <v>1305</v>
      </c>
      <c r="K216" s="502" t="s">
        <v>25</v>
      </c>
      <c r="L216" s="502">
        <v>7</v>
      </c>
      <c r="M216" s="502">
        <v>0</v>
      </c>
    </row>
    <row r="217" spans="1:13" s="179" customFormat="1" ht="33" customHeight="1" thickTop="1" thickBot="1" x14ac:dyDescent="0.25">
      <c r="A217" s="503" t="s">
        <v>1352</v>
      </c>
      <c r="B217" s="628" t="s">
        <v>2551</v>
      </c>
      <c r="C217" s="652"/>
      <c r="D217" s="502">
        <v>3</v>
      </c>
      <c r="E217" s="502">
        <v>30</v>
      </c>
      <c r="F217" s="502">
        <v>3</v>
      </c>
      <c r="G217" s="502">
        <v>520</v>
      </c>
      <c r="H217" s="509">
        <v>433651980</v>
      </c>
      <c r="I217" s="504">
        <v>59523000</v>
      </c>
      <c r="J217" s="508" t="s">
        <v>1306</v>
      </c>
      <c r="K217" s="502" t="s">
        <v>13</v>
      </c>
      <c r="L217" s="502">
        <v>9</v>
      </c>
      <c r="M217" s="502">
        <v>1</v>
      </c>
    </row>
    <row r="218" spans="1:13" s="179" customFormat="1" ht="35.25" thickTop="1" thickBot="1" x14ac:dyDescent="0.25">
      <c r="A218" s="503" t="s">
        <v>1352</v>
      </c>
      <c r="B218" s="628" t="s">
        <v>2551</v>
      </c>
      <c r="C218" s="652"/>
      <c r="D218" s="502">
        <v>3</v>
      </c>
      <c r="E218" s="502">
        <v>30</v>
      </c>
      <c r="F218" s="502">
        <v>3</v>
      </c>
      <c r="G218" s="502">
        <v>530</v>
      </c>
      <c r="H218" s="509">
        <v>39786433</v>
      </c>
      <c r="I218" s="504">
        <v>28000000</v>
      </c>
      <c r="J218" s="508" t="s">
        <v>1307</v>
      </c>
      <c r="K218" s="502" t="s">
        <v>17</v>
      </c>
      <c r="L218" s="502">
        <v>11</v>
      </c>
      <c r="M218" s="502">
        <v>8</v>
      </c>
    </row>
    <row r="219" spans="1:13" s="179" customFormat="1" ht="60" customHeight="1" thickTop="1" thickBot="1" x14ac:dyDescent="0.25">
      <c r="A219" s="503" t="s">
        <v>1352</v>
      </c>
      <c r="B219" s="628" t="s">
        <v>2551</v>
      </c>
      <c r="C219" s="653"/>
      <c r="D219" s="502">
        <v>3</v>
      </c>
      <c r="E219" s="502">
        <v>30</v>
      </c>
      <c r="F219" s="502">
        <v>3</v>
      </c>
      <c r="G219" s="502">
        <v>540</v>
      </c>
      <c r="H219" s="509">
        <v>83000000</v>
      </c>
      <c r="I219" s="504">
        <v>12695000</v>
      </c>
      <c r="J219" s="508" t="s">
        <v>1308</v>
      </c>
      <c r="K219" s="502" t="s">
        <v>17</v>
      </c>
      <c r="L219" s="502">
        <v>25</v>
      </c>
      <c r="M219" s="502">
        <v>4</v>
      </c>
    </row>
    <row r="220" spans="1:13" s="179" customFormat="1" ht="38.25" customHeight="1" thickTop="1" thickBot="1" x14ac:dyDescent="0.25">
      <c r="A220" s="503" t="s">
        <v>1352</v>
      </c>
      <c r="B220" s="628" t="s">
        <v>2551</v>
      </c>
      <c r="C220" s="535"/>
      <c r="D220" s="502">
        <v>3</v>
      </c>
      <c r="E220" s="502">
        <v>30</v>
      </c>
      <c r="F220" s="502">
        <v>3</v>
      </c>
      <c r="G220" s="502">
        <v>540</v>
      </c>
      <c r="H220" s="509">
        <v>8000000</v>
      </c>
      <c r="I220" s="504">
        <v>0</v>
      </c>
      <c r="J220" s="508" t="s">
        <v>1309</v>
      </c>
      <c r="K220" s="502" t="s">
        <v>50</v>
      </c>
      <c r="L220" s="502">
        <v>3</v>
      </c>
      <c r="M220" s="502">
        <v>0</v>
      </c>
    </row>
    <row r="221" spans="1:13" s="179" customFormat="1" ht="49.5" customHeight="1" thickTop="1" thickBot="1" x14ac:dyDescent="0.25">
      <c r="A221" s="503" t="s">
        <v>1352</v>
      </c>
      <c r="B221" s="628" t="s">
        <v>2551</v>
      </c>
      <c r="C221" s="535"/>
      <c r="D221" s="502">
        <v>3</v>
      </c>
      <c r="E221" s="502">
        <v>30</v>
      </c>
      <c r="F221" s="502">
        <v>3</v>
      </c>
      <c r="G221" s="502">
        <v>540</v>
      </c>
      <c r="H221" s="509">
        <v>30000000</v>
      </c>
      <c r="I221" s="504">
        <v>0</v>
      </c>
      <c r="J221" s="508" t="s">
        <v>1310</v>
      </c>
      <c r="K221" s="502" t="s">
        <v>50</v>
      </c>
      <c r="L221" s="502">
        <v>27</v>
      </c>
      <c r="M221" s="502">
        <v>0</v>
      </c>
    </row>
    <row r="222" spans="1:13" s="179" customFormat="1" ht="62.25" customHeight="1" thickTop="1" thickBot="1" x14ac:dyDescent="0.25">
      <c r="A222" s="503" t="s">
        <v>1352</v>
      </c>
      <c r="B222" s="628" t="s">
        <v>2551</v>
      </c>
      <c r="C222" s="535" t="s">
        <v>53</v>
      </c>
      <c r="D222" s="502">
        <v>3</v>
      </c>
      <c r="E222" s="502">
        <v>30</v>
      </c>
      <c r="F222" s="502">
        <v>3</v>
      </c>
      <c r="G222" s="502">
        <v>580</v>
      </c>
      <c r="H222" s="509">
        <v>36000000</v>
      </c>
      <c r="I222" s="504">
        <v>36000000</v>
      </c>
      <c r="J222" s="508" t="s">
        <v>1311</v>
      </c>
      <c r="K222" s="502" t="s">
        <v>72</v>
      </c>
      <c r="L222" s="502">
        <v>13</v>
      </c>
      <c r="M222" s="502">
        <v>13</v>
      </c>
    </row>
    <row r="223" spans="1:13" s="54" customFormat="1" ht="15.75" thickTop="1" x14ac:dyDescent="0.25">
      <c r="A223"/>
      <c r="B223"/>
      <c r="C223"/>
      <c r="D223"/>
      <c r="E223"/>
      <c r="F223"/>
      <c r="G223"/>
      <c r="H223"/>
      <c r="I223"/>
      <c r="J223" s="510"/>
      <c r="K223"/>
      <c r="L223"/>
      <c r="M223"/>
    </row>
    <row r="224" spans="1:13" s="54" customFormat="1" x14ac:dyDescent="0.25">
      <c r="A224"/>
      <c r="B224"/>
      <c r="C224"/>
      <c r="D224"/>
      <c r="E224"/>
      <c r="F224"/>
      <c r="G224"/>
      <c r="H224"/>
      <c r="I224"/>
      <c r="J224" s="510"/>
      <c r="K224"/>
      <c r="L224"/>
      <c r="M224"/>
    </row>
    <row r="225" spans="1:13" s="54" customFormat="1" x14ac:dyDescent="0.25">
      <c r="A225"/>
      <c r="B225"/>
      <c r="C225"/>
      <c r="D225"/>
      <c r="E225"/>
      <c r="F225"/>
      <c r="G225"/>
      <c r="H225"/>
      <c r="I225"/>
      <c r="J225" s="510"/>
      <c r="K225"/>
      <c r="L225"/>
      <c r="M225"/>
    </row>
    <row r="226" spans="1:13" s="54" customFormat="1" x14ac:dyDescent="0.25">
      <c r="A226"/>
      <c r="B226"/>
      <c r="C226"/>
      <c r="D226"/>
      <c r="E226"/>
      <c r="F226"/>
      <c r="G226"/>
      <c r="H226"/>
      <c r="I226"/>
      <c r="J226" s="510"/>
      <c r="K226"/>
      <c r="L226"/>
      <c r="M226"/>
    </row>
    <row r="227" spans="1:13" s="54" customFormat="1" x14ac:dyDescent="0.25">
      <c r="A227"/>
      <c r="B227"/>
      <c r="C227"/>
      <c r="D227"/>
      <c r="E227"/>
      <c r="F227"/>
      <c r="G227"/>
      <c r="H227"/>
      <c r="I227"/>
      <c r="J227" s="510"/>
      <c r="K227"/>
      <c r="L227"/>
      <c r="M227"/>
    </row>
    <row r="228" spans="1:13" s="54" customFormat="1" x14ac:dyDescent="0.25">
      <c r="A228"/>
      <c r="B228"/>
      <c r="C228"/>
      <c r="D228"/>
      <c r="E228"/>
      <c r="F228"/>
      <c r="G228"/>
      <c r="H228"/>
      <c r="I228"/>
      <c r="J228" s="510"/>
      <c r="K228"/>
      <c r="L228"/>
      <c r="M228"/>
    </row>
    <row r="229" spans="1:13" s="54" customFormat="1" x14ac:dyDescent="0.25">
      <c r="A229"/>
      <c r="B229"/>
      <c r="C229"/>
      <c r="D229"/>
      <c r="E229"/>
      <c r="F229"/>
      <c r="G229"/>
      <c r="H229"/>
      <c r="I229"/>
      <c r="J229" s="510"/>
      <c r="K229"/>
      <c r="L229"/>
      <c r="M229"/>
    </row>
    <row r="230" spans="1:13" s="54" customFormat="1" x14ac:dyDescent="0.25">
      <c r="A230"/>
      <c r="B230"/>
      <c r="C230"/>
      <c r="D230"/>
      <c r="E230"/>
      <c r="F230"/>
      <c r="G230"/>
      <c r="H230"/>
      <c r="I230"/>
      <c r="J230" s="510"/>
      <c r="K230"/>
      <c r="L230"/>
      <c r="M230"/>
    </row>
    <row r="231" spans="1:13" s="54" customFormat="1" x14ac:dyDescent="0.25">
      <c r="A231"/>
      <c r="B231"/>
      <c r="C231"/>
      <c r="D231"/>
      <c r="E231"/>
      <c r="F231"/>
      <c r="G231"/>
      <c r="H231"/>
      <c r="I231"/>
      <c r="J231" s="510"/>
      <c r="K231"/>
      <c r="L231"/>
      <c r="M231"/>
    </row>
    <row r="232" spans="1:13" s="54" customFormat="1" x14ac:dyDescent="0.25">
      <c r="A232"/>
      <c r="B232"/>
      <c r="C232"/>
      <c r="D232"/>
      <c r="E232"/>
      <c r="F232"/>
      <c r="G232"/>
      <c r="H232"/>
      <c r="I232"/>
      <c r="J232" s="510"/>
      <c r="K232"/>
      <c r="L232"/>
      <c r="M232"/>
    </row>
    <row r="233" spans="1:13" s="54" customFormat="1" x14ac:dyDescent="0.25">
      <c r="A233"/>
      <c r="B233"/>
      <c r="C233"/>
      <c r="D233"/>
      <c r="E233"/>
      <c r="F233"/>
      <c r="G233"/>
      <c r="H233"/>
      <c r="I233"/>
      <c r="J233" s="510"/>
      <c r="K233"/>
      <c r="L233"/>
      <c r="M233"/>
    </row>
    <row r="234" spans="1:13" s="54" customFormat="1" x14ac:dyDescent="0.25">
      <c r="A234"/>
      <c r="B234"/>
      <c r="C234"/>
      <c r="D234"/>
      <c r="E234"/>
      <c r="F234"/>
      <c r="G234"/>
      <c r="H234"/>
      <c r="I234"/>
      <c r="J234" s="510"/>
      <c r="K234"/>
      <c r="L234"/>
      <c r="M234"/>
    </row>
    <row r="235" spans="1:13" s="54" customFormat="1" x14ac:dyDescent="0.25">
      <c r="A235"/>
      <c r="B235"/>
      <c r="C235"/>
      <c r="D235"/>
      <c r="E235"/>
      <c r="F235"/>
      <c r="G235"/>
      <c r="H235"/>
      <c r="I235"/>
      <c r="J235" s="510"/>
      <c r="K235"/>
      <c r="L235"/>
      <c r="M235"/>
    </row>
    <row r="236" spans="1:13" s="54" customFormat="1" x14ac:dyDescent="0.25">
      <c r="A236"/>
      <c r="B236"/>
      <c r="C236"/>
      <c r="D236"/>
      <c r="E236"/>
      <c r="F236"/>
      <c r="G236"/>
      <c r="H236"/>
      <c r="I236"/>
      <c r="J236" s="510"/>
      <c r="K236"/>
      <c r="L236"/>
      <c r="M236"/>
    </row>
    <row r="237" spans="1:13" s="54" customFormat="1" x14ac:dyDescent="0.25">
      <c r="A237"/>
      <c r="B237"/>
      <c r="C237"/>
      <c r="D237"/>
      <c r="E237"/>
      <c r="F237"/>
      <c r="G237"/>
      <c r="H237"/>
      <c r="I237"/>
      <c r="J237" s="510"/>
      <c r="K237"/>
      <c r="L237"/>
      <c r="M237"/>
    </row>
    <row r="238" spans="1:13" s="54" customFormat="1" x14ac:dyDescent="0.25">
      <c r="A238"/>
      <c r="B238"/>
      <c r="C238"/>
      <c r="D238"/>
      <c r="E238"/>
      <c r="F238"/>
      <c r="G238"/>
      <c r="H238"/>
      <c r="I238"/>
      <c r="J238" s="510"/>
      <c r="K238"/>
      <c r="L238"/>
      <c r="M238"/>
    </row>
    <row r="239" spans="1:13" s="54" customFormat="1" x14ac:dyDescent="0.25">
      <c r="A239"/>
      <c r="B239"/>
      <c r="C239"/>
      <c r="D239"/>
      <c r="E239"/>
      <c r="F239"/>
      <c r="G239"/>
      <c r="H239"/>
      <c r="I239"/>
      <c r="J239" s="510"/>
      <c r="K239"/>
      <c r="L239"/>
      <c r="M239"/>
    </row>
    <row r="240" spans="1:13" s="54" customFormat="1" x14ac:dyDescent="0.25">
      <c r="A240"/>
      <c r="B240"/>
      <c r="C240"/>
      <c r="D240"/>
      <c r="E240"/>
      <c r="F240"/>
      <c r="G240"/>
      <c r="H240"/>
      <c r="I240"/>
      <c r="J240" s="510"/>
      <c r="K240"/>
      <c r="L240"/>
      <c r="M240"/>
    </row>
    <row r="241" spans="1:13" s="54" customFormat="1" x14ac:dyDescent="0.25">
      <c r="A241"/>
      <c r="B241"/>
      <c r="C241"/>
      <c r="D241"/>
      <c r="E241"/>
      <c r="F241"/>
      <c r="G241"/>
      <c r="H241"/>
      <c r="I241"/>
      <c r="J241" s="510"/>
      <c r="K241"/>
      <c r="L241"/>
      <c r="M241"/>
    </row>
    <row r="242" spans="1:13" s="54" customFormat="1" x14ac:dyDescent="0.25">
      <c r="A242"/>
      <c r="B242"/>
      <c r="C242"/>
      <c r="D242"/>
      <c r="E242"/>
      <c r="F242"/>
      <c r="G242"/>
      <c r="H242"/>
      <c r="I242"/>
      <c r="J242" s="510"/>
      <c r="K242"/>
      <c r="L242"/>
      <c r="M242"/>
    </row>
    <row r="243" spans="1:13" s="54" customFormat="1" x14ac:dyDescent="0.25">
      <c r="A243"/>
      <c r="B243"/>
      <c r="C243"/>
      <c r="D243"/>
      <c r="E243"/>
      <c r="F243"/>
      <c r="G243"/>
      <c r="H243"/>
      <c r="I243"/>
      <c r="J243" s="510"/>
      <c r="K243"/>
      <c r="L243"/>
      <c r="M243"/>
    </row>
    <row r="244" spans="1:13" s="54" customFormat="1" x14ac:dyDescent="0.25">
      <c r="A244"/>
      <c r="B244"/>
      <c r="C244"/>
      <c r="D244"/>
      <c r="E244"/>
      <c r="F244"/>
      <c r="G244"/>
      <c r="H244"/>
      <c r="I244"/>
      <c r="J244" s="510"/>
      <c r="K244"/>
      <c r="L244"/>
      <c r="M244"/>
    </row>
    <row r="245" spans="1:13" s="54" customFormat="1" x14ac:dyDescent="0.25">
      <c r="A245"/>
      <c r="B245"/>
      <c r="C245"/>
      <c r="D245"/>
      <c r="E245"/>
      <c r="F245"/>
      <c r="G245"/>
      <c r="H245"/>
      <c r="I245"/>
      <c r="J245" s="510"/>
      <c r="K245"/>
      <c r="L245"/>
      <c r="M245"/>
    </row>
    <row r="246" spans="1:13" s="54" customFormat="1" x14ac:dyDescent="0.25">
      <c r="A246"/>
      <c r="B246"/>
      <c r="C246"/>
      <c r="D246"/>
      <c r="E246"/>
      <c r="F246"/>
      <c r="G246"/>
      <c r="H246"/>
      <c r="I246"/>
      <c r="J246" s="510"/>
      <c r="K246"/>
      <c r="L246"/>
      <c r="M246"/>
    </row>
    <row r="247" spans="1:13" s="54" customFormat="1" x14ac:dyDescent="0.25">
      <c r="A247"/>
      <c r="B247"/>
      <c r="C247"/>
      <c r="D247"/>
      <c r="E247"/>
      <c r="F247"/>
      <c r="G247"/>
      <c r="H247"/>
      <c r="I247"/>
      <c r="J247" s="510"/>
      <c r="K247"/>
      <c r="L247"/>
      <c r="M247"/>
    </row>
    <row r="248" spans="1:13" s="54" customFormat="1" x14ac:dyDescent="0.25">
      <c r="A248"/>
      <c r="B248"/>
      <c r="C248"/>
      <c r="D248"/>
      <c r="E248"/>
      <c r="F248"/>
      <c r="G248"/>
      <c r="H248"/>
      <c r="I248"/>
      <c r="J248" s="510"/>
      <c r="K248"/>
      <c r="L248"/>
      <c r="M248"/>
    </row>
    <row r="249" spans="1:13" s="54" customFormat="1" x14ac:dyDescent="0.25">
      <c r="A249"/>
      <c r="B249"/>
      <c r="C249"/>
      <c r="D249"/>
      <c r="E249"/>
      <c r="F249"/>
      <c r="G249"/>
      <c r="H249"/>
      <c r="I249"/>
      <c r="J249" s="510"/>
      <c r="K249"/>
      <c r="L249"/>
      <c r="M249"/>
    </row>
    <row r="250" spans="1:13" s="54" customFormat="1" x14ac:dyDescent="0.25">
      <c r="A250"/>
      <c r="B250"/>
      <c r="C250"/>
      <c r="D250"/>
      <c r="E250"/>
      <c r="F250"/>
      <c r="G250"/>
      <c r="H250"/>
      <c r="I250"/>
      <c r="J250" s="510"/>
      <c r="K250"/>
      <c r="L250"/>
      <c r="M250"/>
    </row>
    <row r="251" spans="1:13" s="54" customFormat="1" x14ac:dyDescent="0.25">
      <c r="A251"/>
      <c r="B251"/>
      <c r="C251"/>
      <c r="D251"/>
      <c r="E251"/>
      <c r="F251"/>
      <c r="G251"/>
      <c r="H251"/>
      <c r="I251"/>
      <c r="J251" s="510"/>
      <c r="K251"/>
      <c r="L251"/>
      <c r="M251"/>
    </row>
    <row r="252" spans="1:13" s="54" customFormat="1" x14ac:dyDescent="0.25">
      <c r="A252"/>
      <c r="B252"/>
      <c r="C252"/>
      <c r="D252"/>
      <c r="E252"/>
      <c r="F252"/>
      <c r="G252"/>
      <c r="H252"/>
      <c r="I252"/>
      <c r="J252" s="510"/>
      <c r="K252"/>
      <c r="L252"/>
      <c r="M252"/>
    </row>
    <row r="253" spans="1:13" s="54" customFormat="1" x14ac:dyDescent="0.25">
      <c r="A253"/>
      <c r="B253"/>
      <c r="C253"/>
      <c r="D253"/>
      <c r="E253"/>
      <c r="F253"/>
      <c r="G253"/>
      <c r="H253"/>
      <c r="I253"/>
      <c r="J253" s="510"/>
      <c r="K253"/>
      <c r="L253"/>
      <c r="M253"/>
    </row>
    <row r="254" spans="1:13" s="54" customFormat="1" x14ac:dyDescent="0.25">
      <c r="A254"/>
      <c r="B254"/>
      <c r="C254"/>
      <c r="D254"/>
      <c r="E254"/>
      <c r="F254"/>
      <c r="G254"/>
      <c r="H254"/>
      <c r="I254"/>
      <c r="J254" s="510"/>
      <c r="K254"/>
      <c r="L254"/>
      <c r="M254"/>
    </row>
    <row r="255" spans="1:13" s="54" customFormat="1" x14ac:dyDescent="0.25">
      <c r="A255"/>
      <c r="B255"/>
      <c r="C255"/>
      <c r="D255"/>
      <c r="E255"/>
      <c r="F255"/>
      <c r="G255"/>
      <c r="H255"/>
      <c r="I255"/>
      <c r="J255" s="510"/>
      <c r="K255"/>
      <c r="L255"/>
      <c r="M255"/>
    </row>
    <row r="256" spans="1:13" s="54" customFormat="1" x14ac:dyDescent="0.25">
      <c r="A256"/>
      <c r="B256"/>
      <c r="C256"/>
      <c r="D256"/>
      <c r="E256"/>
      <c r="F256"/>
      <c r="G256"/>
      <c r="H256"/>
      <c r="I256"/>
      <c r="J256" s="510"/>
      <c r="K256"/>
      <c r="L256"/>
      <c r="M256"/>
    </row>
    <row r="257" spans="1:13" s="54" customFormat="1" x14ac:dyDescent="0.25">
      <c r="A257"/>
      <c r="B257"/>
      <c r="C257"/>
      <c r="D257"/>
      <c r="E257"/>
      <c r="F257"/>
      <c r="G257"/>
      <c r="H257"/>
      <c r="I257"/>
      <c r="J257" s="510"/>
      <c r="K257"/>
      <c r="L257"/>
      <c r="M257"/>
    </row>
    <row r="258" spans="1:13" s="54" customFormat="1" x14ac:dyDescent="0.25">
      <c r="A258"/>
      <c r="B258"/>
      <c r="C258"/>
      <c r="D258"/>
      <c r="E258"/>
      <c r="F258"/>
      <c r="G258"/>
      <c r="H258"/>
      <c r="I258"/>
      <c r="J258" s="510"/>
      <c r="K258"/>
      <c r="L258"/>
      <c r="M258"/>
    </row>
    <row r="259" spans="1:13" s="54" customFormat="1" x14ac:dyDescent="0.25">
      <c r="A259"/>
      <c r="B259"/>
      <c r="C259"/>
      <c r="D259"/>
      <c r="E259"/>
      <c r="F259"/>
      <c r="G259"/>
      <c r="H259"/>
      <c r="I259"/>
      <c r="J259" s="510"/>
      <c r="K259"/>
      <c r="L259"/>
      <c r="M259"/>
    </row>
    <row r="260" spans="1:13" s="54" customFormat="1" x14ac:dyDescent="0.25">
      <c r="A260"/>
      <c r="B260"/>
      <c r="C260"/>
      <c r="D260"/>
      <c r="E260"/>
      <c r="F260"/>
      <c r="G260"/>
      <c r="H260"/>
      <c r="I260"/>
      <c r="J260" s="510"/>
      <c r="K260"/>
      <c r="L260"/>
      <c r="M260"/>
    </row>
    <row r="261" spans="1:13" s="54" customFormat="1" x14ac:dyDescent="0.25">
      <c r="A261"/>
      <c r="B261"/>
      <c r="C261"/>
      <c r="D261"/>
      <c r="E261"/>
      <c r="F261"/>
      <c r="G261"/>
      <c r="H261"/>
      <c r="I261"/>
      <c r="J261" s="510"/>
      <c r="K261"/>
      <c r="L261"/>
      <c r="M261"/>
    </row>
  </sheetData>
  <mergeCells count="126">
    <mergeCell ref="H150:I150"/>
    <mergeCell ref="J150:M150"/>
    <mergeCell ref="H170:I170"/>
    <mergeCell ref="J170:M170"/>
    <mergeCell ref="H180:I180"/>
    <mergeCell ref="J180:M180"/>
    <mergeCell ref="A180:A181"/>
    <mergeCell ref="A193:A194"/>
    <mergeCell ref="A202:A203"/>
    <mergeCell ref="D170:G170"/>
    <mergeCell ref="A150:A151"/>
    <mergeCell ref="A170:A171"/>
    <mergeCell ref="C174:C177"/>
    <mergeCell ref="C182:C183"/>
    <mergeCell ref="C184:C191"/>
    <mergeCell ref="B180:B181"/>
    <mergeCell ref="C180:C181"/>
    <mergeCell ref="D180:G180"/>
    <mergeCell ref="A211:A212"/>
    <mergeCell ref="H5:I5"/>
    <mergeCell ref="J5:M5"/>
    <mergeCell ref="H12:I12"/>
    <mergeCell ref="J12:M12"/>
    <mergeCell ref="H21:I21"/>
    <mergeCell ref="J21:M21"/>
    <mergeCell ref="H33:I33"/>
    <mergeCell ref="J33:M33"/>
    <mergeCell ref="H68:I68"/>
    <mergeCell ref="J68:M68"/>
    <mergeCell ref="H79:I79"/>
    <mergeCell ref="J79:M79"/>
    <mergeCell ref="H92:I92"/>
    <mergeCell ref="J92:M92"/>
    <mergeCell ref="H105:I105"/>
    <mergeCell ref="J105:M105"/>
    <mergeCell ref="H120:I120"/>
    <mergeCell ref="J120:M120"/>
    <mergeCell ref="H133:I133"/>
    <mergeCell ref="J133:M133"/>
    <mergeCell ref="D133:G133"/>
    <mergeCell ref="B170:B171"/>
    <mergeCell ref="C170:C171"/>
    <mergeCell ref="A133:A134"/>
    <mergeCell ref="C123:C131"/>
    <mergeCell ref="B120:B121"/>
    <mergeCell ref="C120:C121"/>
    <mergeCell ref="C108:C109"/>
    <mergeCell ref="C110:C111"/>
    <mergeCell ref="C112:C115"/>
    <mergeCell ref="C117:C118"/>
    <mergeCell ref="B105:B106"/>
    <mergeCell ref="C105:C106"/>
    <mergeCell ref="A5:A6"/>
    <mergeCell ref="A12:A13"/>
    <mergeCell ref="A21:A22"/>
    <mergeCell ref="A33:A34"/>
    <mergeCell ref="A68:A69"/>
    <mergeCell ref="A79:A80"/>
    <mergeCell ref="A92:A93"/>
    <mergeCell ref="A105:A106"/>
    <mergeCell ref="A120:A121"/>
    <mergeCell ref="C214:C219"/>
    <mergeCell ref="H193:I193"/>
    <mergeCell ref="J193:M193"/>
    <mergeCell ref="H202:I202"/>
    <mergeCell ref="B211:B212"/>
    <mergeCell ref="C211:C212"/>
    <mergeCell ref="D211:G211"/>
    <mergeCell ref="H211:I211"/>
    <mergeCell ref="J211:M211"/>
    <mergeCell ref="B193:B194"/>
    <mergeCell ref="C193:C194"/>
    <mergeCell ref="D193:G193"/>
    <mergeCell ref="B202:B203"/>
    <mergeCell ref="C202:C203"/>
    <mergeCell ref="D202:G202"/>
    <mergeCell ref="C196:C200"/>
    <mergeCell ref="J202:M202"/>
    <mergeCell ref="C205:C208"/>
    <mergeCell ref="D120:G120"/>
    <mergeCell ref="C147:C148"/>
    <mergeCell ref="C152:C153"/>
    <mergeCell ref="C154:C162"/>
    <mergeCell ref="C172:C173"/>
    <mergeCell ref="B150:B151"/>
    <mergeCell ref="C150:C151"/>
    <mergeCell ref="D150:G150"/>
    <mergeCell ref="C167:C168"/>
    <mergeCell ref="C163:C166"/>
    <mergeCell ref="B133:B134"/>
    <mergeCell ref="C133:C134"/>
    <mergeCell ref="C136:C142"/>
    <mergeCell ref="C143:C146"/>
    <mergeCell ref="D105:G105"/>
    <mergeCell ref="C82:C85"/>
    <mergeCell ref="B92:B93"/>
    <mergeCell ref="C92:C93"/>
    <mergeCell ref="D92:G92"/>
    <mergeCell ref="C88:C89"/>
    <mergeCell ref="C95:C103"/>
    <mergeCell ref="C71:C77"/>
    <mergeCell ref="C35:C36"/>
    <mergeCell ref="C37:C50"/>
    <mergeCell ref="C54:C65"/>
    <mergeCell ref="B68:B69"/>
    <mergeCell ref="C68:C69"/>
    <mergeCell ref="D68:G68"/>
    <mergeCell ref="B79:B80"/>
    <mergeCell ref="C79:C80"/>
    <mergeCell ref="D79:G79"/>
    <mergeCell ref="C51:C53"/>
    <mergeCell ref="D21:G21"/>
    <mergeCell ref="C24:C31"/>
    <mergeCell ref="B33:B34"/>
    <mergeCell ref="C33:C34"/>
    <mergeCell ref="D33:G33"/>
    <mergeCell ref="B5:B6"/>
    <mergeCell ref="C5:C6"/>
    <mergeCell ref="D5:G5"/>
    <mergeCell ref="B12:B13"/>
    <mergeCell ref="C12:C13"/>
    <mergeCell ref="D12:G12"/>
    <mergeCell ref="C8:C9"/>
    <mergeCell ref="C15:C19"/>
    <mergeCell ref="B21:B22"/>
    <mergeCell ref="C21:C2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51"/>
  <sheetViews>
    <sheetView showGridLines="0" workbookViewId="0">
      <selection activeCell="C5" sqref="C5:C6"/>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2.42578125" customWidth="1"/>
    <col min="11" max="11" width="12.5703125" customWidth="1"/>
    <col min="12" max="13" width="15.140625" customWidth="1"/>
  </cols>
  <sheetData>
    <row r="4" spans="1:13" ht="15.75" thickBot="1" x14ac:dyDescent="0.3"/>
    <row r="5" spans="1:13" s="83" customFormat="1" ht="30" customHeight="1" thickTop="1" thickBot="1" x14ac:dyDescent="0.3">
      <c r="A5" s="639" t="s">
        <v>0</v>
      </c>
      <c r="B5" s="639" t="s">
        <v>1</v>
      </c>
      <c r="C5" s="639" t="s">
        <v>2569</v>
      </c>
      <c r="D5" s="636" t="s">
        <v>1961</v>
      </c>
      <c r="E5" s="637"/>
      <c r="F5" s="637"/>
      <c r="G5" s="638"/>
      <c r="H5" s="636" t="s">
        <v>3</v>
      </c>
      <c r="I5" s="637"/>
      <c r="J5" s="636" t="s">
        <v>1962</v>
      </c>
      <c r="K5" s="637"/>
      <c r="L5" s="637"/>
      <c r="M5" s="637"/>
    </row>
    <row r="6" spans="1:13" s="83" customFormat="1" ht="34.5" customHeight="1" thickTop="1" thickBot="1" x14ac:dyDescent="0.3">
      <c r="A6" s="661"/>
      <c r="B6" s="661"/>
      <c r="C6" s="661"/>
      <c r="D6" s="499" t="s">
        <v>4</v>
      </c>
      <c r="E6" s="499" t="s">
        <v>5</v>
      </c>
      <c r="F6" s="499" t="s">
        <v>6</v>
      </c>
      <c r="G6" s="499" t="s">
        <v>7</v>
      </c>
      <c r="H6" s="499" t="s">
        <v>2</v>
      </c>
      <c r="I6" s="499" t="s">
        <v>3</v>
      </c>
      <c r="J6" s="499" t="s">
        <v>8</v>
      </c>
      <c r="K6" s="499" t="s">
        <v>9</v>
      </c>
      <c r="L6" s="499" t="s">
        <v>1963</v>
      </c>
      <c r="M6" s="513" t="s">
        <v>1964</v>
      </c>
    </row>
    <row r="7" spans="1:13" s="79" customFormat="1" ht="51.75" customHeight="1" thickTop="1" thickBot="1" x14ac:dyDescent="0.25">
      <c r="A7" s="507" t="s">
        <v>1354</v>
      </c>
      <c r="B7" s="507" t="s">
        <v>1353</v>
      </c>
      <c r="C7" s="503" t="s">
        <v>18</v>
      </c>
      <c r="D7" s="502">
        <v>3</v>
      </c>
      <c r="E7" s="502">
        <v>30</v>
      </c>
      <c r="F7" s="502">
        <v>3</v>
      </c>
      <c r="G7" s="502">
        <v>848</v>
      </c>
      <c r="H7" s="509">
        <v>983668991</v>
      </c>
      <c r="I7" s="509">
        <v>732450000</v>
      </c>
      <c r="J7" s="501" t="s">
        <v>1355</v>
      </c>
      <c r="K7" s="502" t="s">
        <v>20</v>
      </c>
      <c r="L7" s="502">
        <v>1285</v>
      </c>
      <c r="M7" s="502">
        <v>1285</v>
      </c>
    </row>
    <row r="8" spans="1:13" s="79" customFormat="1" ht="42" customHeight="1" thickTop="1" thickBot="1" x14ac:dyDescent="0.25">
      <c r="A8" s="507" t="s">
        <v>1354</v>
      </c>
      <c r="B8" s="507" t="s">
        <v>1353</v>
      </c>
      <c r="C8" s="654" t="s">
        <v>300</v>
      </c>
      <c r="D8" s="502">
        <v>3</v>
      </c>
      <c r="E8" s="502">
        <v>30</v>
      </c>
      <c r="F8" s="502">
        <v>3</v>
      </c>
      <c r="G8" s="502">
        <v>520</v>
      </c>
      <c r="H8" s="509">
        <v>1441104759</v>
      </c>
      <c r="I8" s="509">
        <v>139255231</v>
      </c>
      <c r="J8" s="501" t="s">
        <v>1356</v>
      </c>
      <c r="K8" s="502" t="s">
        <v>55</v>
      </c>
      <c r="L8" s="502">
        <v>13</v>
      </c>
      <c r="M8" s="502">
        <v>13</v>
      </c>
    </row>
    <row r="9" spans="1:13" s="79" customFormat="1" ht="42" customHeight="1" thickTop="1" thickBot="1" x14ac:dyDescent="0.25">
      <c r="A9" s="507" t="s">
        <v>1354</v>
      </c>
      <c r="B9" s="507" t="s">
        <v>1353</v>
      </c>
      <c r="C9" s="654"/>
      <c r="D9" s="502">
        <v>3</v>
      </c>
      <c r="E9" s="502">
        <v>30</v>
      </c>
      <c r="F9" s="502">
        <v>3</v>
      </c>
      <c r="G9" s="502">
        <v>520</v>
      </c>
      <c r="H9" s="509">
        <v>470000000</v>
      </c>
      <c r="I9" s="509">
        <v>69891014</v>
      </c>
      <c r="J9" s="501" t="s">
        <v>1357</v>
      </c>
      <c r="K9" s="502" t="s">
        <v>55</v>
      </c>
      <c r="L9" s="502">
        <v>12</v>
      </c>
      <c r="M9" s="502">
        <v>12</v>
      </c>
    </row>
    <row r="10" spans="1:13" s="79" customFormat="1" ht="42" customHeight="1" thickTop="1" thickBot="1" x14ac:dyDescent="0.25">
      <c r="A10" s="507" t="s">
        <v>1354</v>
      </c>
      <c r="B10" s="507" t="s">
        <v>1353</v>
      </c>
      <c r="C10" s="654"/>
      <c r="D10" s="502">
        <v>3</v>
      </c>
      <c r="E10" s="502">
        <v>30</v>
      </c>
      <c r="F10" s="502">
        <v>3</v>
      </c>
      <c r="G10" s="502">
        <v>520</v>
      </c>
      <c r="H10" s="509">
        <v>205000000</v>
      </c>
      <c r="I10" s="509">
        <v>30158197</v>
      </c>
      <c r="J10" s="501" t="s">
        <v>1358</v>
      </c>
      <c r="K10" s="502" t="s">
        <v>25</v>
      </c>
      <c r="L10" s="502">
        <v>6</v>
      </c>
      <c r="M10" s="502">
        <v>6</v>
      </c>
    </row>
    <row r="11" spans="1:13" s="79" customFormat="1" ht="42" customHeight="1" thickTop="1" thickBot="1" x14ac:dyDescent="0.25">
      <c r="A11" s="507" t="s">
        <v>1354</v>
      </c>
      <c r="B11" s="507" t="s">
        <v>1353</v>
      </c>
      <c r="C11" s="654"/>
      <c r="D11" s="502">
        <v>3</v>
      </c>
      <c r="E11" s="502">
        <v>30</v>
      </c>
      <c r="F11" s="502">
        <v>3</v>
      </c>
      <c r="G11" s="502">
        <v>520</v>
      </c>
      <c r="H11" s="509">
        <v>63700000</v>
      </c>
      <c r="I11" s="509">
        <v>9555000</v>
      </c>
      <c r="J11" s="501" t="s">
        <v>1359</v>
      </c>
      <c r="K11" s="502" t="s">
        <v>55</v>
      </c>
      <c r="L11" s="502">
        <v>6</v>
      </c>
      <c r="M11" s="502">
        <v>6</v>
      </c>
    </row>
    <row r="12" spans="1:13" s="79" customFormat="1" ht="53.25" customHeight="1" thickTop="1" thickBot="1" x14ac:dyDescent="0.25">
      <c r="A12" s="507" t="s">
        <v>1354</v>
      </c>
      <c r="B12" s="507" t="s">
        <v>1353</v>
      </c>
      <c r="C12" s="503" t="s">
        <v>105</v>
      </c>
      <c r="D12" s="502">
        <v>3</v>
      </c>
      <c r="E12" s="502">
        <v>30</v>
      </c>
      <c r="F12" s="502">
        <v>3</v>
      </c>
      <c r="G12" s="502">
        <v>520</v>
      </c>
      <c r="H12" s="509">
        <v>431349572</v>
      </c>
      <c r="I12" s="546" t="s">
        <v>123</v>
      </c>
      <c r="J12" s="501" t="s">
        <v>1360</v>
      </c>
      <c r="K12" s="502" t="s">
        <v>261</v>
      </c>
      <c r="L12" s="502">
        <v>2450</v>
      </c>
      <c r="M12" s="502">
        <v>0</v>
      </c>
    </row>
    <row r="13" spans="1:13" s="54" customFormat="1" ht="19.5" customHeight="1" thickTop="1" thickBot="1" x14ac:dyDescent="0.3"/>
    <row r="14" spans="1:13" s="83" customFormat="1" ht="30" customHeight="1" thickTop="1" thickBot="1" x14ac:dyDescent="0.3">
      <c r="A14" s="639" t="s">
        <v>0</v>
      </c>
      <c r="B14" s="639" t="s">
        <v>1</v>
      </c>
      <c r="C14" s="639" t="s">
        <v>2569</v>
      </c>
      <c r="D14" s="636" t="s">
        <v>1961</v>
      </c>
      <c r="E14" s="637"/>
      <c r="F14" s="637"/>
      <c r="G14" s="638"/>
      <c r="H14" s="636" t="s">
        <v>3</v>
      </c>
      <c r="I14" s="637"/>
      <c r="J14" s="636" t="s">
        <v>1962</v>
      </c>
      <c r="K14" s="637"/>
      <c r="L14" s="637"/>
      <c r="M14" s="637"/>
    </row>
    <row r="15" spans="1:13" s="83" customFormat="1" ht="34.5" customHeight="1" thickTop="1" thickBot="1" x14ac:dyDescent="0.3">
      <c r="A15" s="661"/>
      <c r="B15" s="661"/>
      <c r="C15" s="661"/>
      <c r="D15" s="499" t="s">
        <v>4</v>
      </c>
      <c r="E15" s="499" t="s">
        <v>5</v>
      </c>
      <c r="F15" s="499" t="s">
        <v>6</v>
      </c>
      <c r="G15" s="499" t="s">
        <v>7</v>
      </c>
      <c r="H15" s="499" t="s">
        <v>2</v>
      </c>
      <c r="I15" s="499" t="s">
        <v>3</v>
      </c>
      <c r="J15" s="499" t="s">
        <v>8</v>
      </c>
      <c r="K15" s="499" t="s">
        <v>9</v>
      </c>
      <c r="L15" s="499" t="s">
        <v>1963</v>
      </c>
      <c r="M15" s="513" t="s">
        <v>1964</v>
      </c>
    </row>
    <row r="16" spans="1:13" s="79" customFormat="1" ht="46.5" thickTop="1" thickBot="1" x14ac:dyDescent="0.25">
      <c r="A16" s="507" t="s">
        <v>1361</v>
      </c>
      <c r="B16" s="507" t="s">
        <v>1353</v>
      </c>
      <c r="C16" s="503" t="s">
        <v>18</v>
      </c>
      <c r="D16" s="502">
        <v>2</v>
      </c>
      <c r="E16" s="502">
        <v>30</v>
      </c>
      <c r="F16" s="502">
        <v>3</v>
      </c>
      <c r="G16" s="502">
        <v>848</v>
      </c>
      <c r="H16" s="509">
        <v>328863787</v>
      </c>
      <c r="I16" s="509">
        <v>0</v>
      </c>
      <c r="J16" s="501" t="s">
        <v>1320</v>
      </c>
      <c r="K16" s="502" t="s">
        <v>20</v>
      </c>
      <c r="L16" s="502">
        <v>400</v>
      </c>
      <c r="M16" s="502">
        <v>0</v>
      </c>
    </row>
    <row r="17" spans="1:13" s="79" customFormat="1" ht="40.5" customHeight="1" thickTop="1" thickBot="1" x14ac:dyDescent="0.25">
      <c r="A17" s="507" t="s">
        <v>1361</v>
      </c>
      <c r="B17" s="507" t="s">
        <v>1353</v>
      </c>
      <c r="C17" s="651" t="s">
        <v>53</v>
      </c>
      <c r="D17" s="502">
        <v>2</v>
      </c>
      <c r="E17" s="502">
        <v>30</v>
      </c>
      <c r="F17" s="502">
        <v>3</v>
      </c>
      <c r="G17" s="502">
        <v>520</v>
      </c>
      <c r="H17" s="509">
        <v>470000000</v>
      </c>
      <c r="I17" s="509">
        <v>0</v>
      </c>
      <c r="J17" s="501" t="s">
        <v>472</v>
      </c>
      <c r="K17" s="502" t="s">
        <v>55</v>
      </c>
      <c r="L17" s="502">
        <v>5</v>
      </c>
      <c r="M17" s="502">
        <v>0</v>
      </c>
    </row>
    <row r="18" spans="1:13" s="79" customFormat="1" ht="40.5" customHeight="1" thickTop="1" thickBot="1" x14ac:dyDescent="0.25">
      <c r="A18" s="507" t="s">
        <v>1361</v>
      </c>
      <c r="B18" s="507" t="s">
        <v>1353</v>
      </c>
      <c r="C18" s="653"/>
      <c r="D18" s="502">
        <v>2</v>
      </c>
      <c r="E18" s="502">
        <v>30</v>
      </c>
      <c r="F18" s="502">
        <v>3</v>
      </c>
      <c r="G18" s="502">
        <v>520</v>
      </c>
      <c r="H18" s="509">
        <v>154240213</v>
      </c>
      <c r="I18" s="509">
        <v>0</v>
      </c>
      <c r="J18" s="501" t="s">
        <v>473</v>
      </c>
      <c r="K18" s="502" t="s">
        <v>25</v>
      </c>
      <c r="L18" s="502">
        <v>2</v>
      </c>
      <c r="M18" s="502">
        <v>0</v>
      </c>
    </row>
    <row r="19" spans="1:13" s="79" customFormat="1" ht="40.5" customHeight="1" thickTop="1" thickBot="1" x14ac:dyDescent="0.25">
      <c r="A19" s="507" t="s">
        <v>1361</v>
      </c>
      <c r="B19" s="507" t="s">
        <v>1353</v>
      </c>
      <c r="C19" s="503" t="s">
        <v>105</v>
      </c>
      <c r="D19" s="502">
        <v>2</v>
      </c>
      <c r="E19" s="502">
        <v>30</v>
      </c>
      <c r="F19" s="502">
        <v>3</v>
      </c>
      <c r="G19" s="502">
        <v>540</v>
      </c>
      <c r="H19" s="509">
        <v>143108623</v>
      </c>
      <c r="I19" s="509">
        <v>0</v>
      </c>
      <c r="J19" s="501" t="s">
        <v>1321</v>
      </c>
      <c r="K19" s="502" t="s">
        <v>46</v>
      </c>
      <c r="L19" s="502">
        <v>650</v>
      </c>
      <c r="M19" s="502">
        <v>0</v>
      </c>
    </row>
    <row r="20" spans="1:13" s="186" customFormat="1" ht="18" customHeight="1" thickTop="1" thickBot="1" x14ac:dyDescent="0.25">
      <c r="A20" s="66"/>
      <c r="B20" s="66"/>
      <c r="C20" s="185"/>
      <c r="D20" s="24"/>
      <c r="E20" s="24"/>
      <c r="F20" s="24"/>
      <c r="G20" s="24"/>
      <c r="H20" s="24"/>
      <c r="I20" s="24"/>
      <c r="J20" s="68"/>
      <c r="K20" s="24"/>
      <c r="L20" s="24"/>
      <c r="M20" s="24"/>
    </row>
    <row r="21" spans="1:13" s="83" customFormat="1" ht="30" customHeight="1" thickTop="1" thickBot="1" x14ac:dyDescent="0.3">
      <c r="A21" s="639" t="s">
        <v>0</v>
      </c>
      <c r="B21" s="639" t="s">
        <v>1</v>
      </c>
      <c r="C21" s="639" t="s">
        <v>2569</v>
      </c>
      <c r="D21" s="636" t="s">
        <v>1961</v>
      </c>
      <c r="E21" s="637"/>
      <c r="F21" s="637"/>
      <c r="G21" s="638"/>
      <c r="H21" s="636" t="s">
        <v>3</v>
      </c>
      <c r="I21" s="637"/>
      <c r="J21" s="636" t="s">
        <v>1962</v>
      </c>
      <c r="K21" s="637"/>
      <c r="L21" s="637"/>
      <c r="M21" s="637"/>
    </row>
    <row r="22" spans="1:13" s="83" customFormat="1" ht="36" customHeight="1" thickTop="1" thickBot="1" x14ac:dyDescent="0.3">
      <c r="A22" s="661"/>
      <c r="B22" s="661"/>
      <c r="C22" s="661"/>
      <c r="D22" s="499" t="s">
        <v>4</v>
      </c>
      <c r="E22" s="499" t="s">
        <v>5</v>
      </c>
      <c r="F22" s="499" t="s">
        <v>6</v>
      </c>
      <c r="G22" s="499" t="s">
        <v>7</v>
      </c>
      <c r="H22" s="499" t="s">
        <v>2</v>
      </c>
      <c r="I22" s="499" t="s">
        <v>3</v>
      </c>
      <c r="J22" s="499" t="s">
        <v>8</v>
      </c>
      <c r="K22" s="499" t="s">
        <v>9</v>
      </c>
      <c r="L22" s="499" t="s">
        <v>1963</v>
      </c>
      <c r="M22" s="513" t="s">
        <v>1964</v>
      </c>
    </row>
    <row r="23" spans="1:13" s="79" customFormat="1" ht="52.5" customHeight="1" thickTop="1" thickBot="1" x14ac:dyDescent="0.25">
      <c r="A23" s="507" t="s">
        <v>2555</v>
      </c>
      <c r="B23" s="507" t="s">
        <v>1353</v>
      </c>
      <c r="C23" s="503" t="s">
        <v>18</v>
      </c>
      <c r="D23" s="502">
        <v>3</v>
      </c>
      <c r="E23" s="502">
        <v>30</v>
      </c>
      <c r="F23" s="502">
        <v>3</v>
      </c>
      <c r="G23" s="502">
        <v>848</v>
      </c>
      <c r="H23" s="509">
        <v>374401586</v>
      </c>
      <c r="I23" s="509">
        <v>250000000</v>
      </c>
      <c r="J23" s="501" t="s">
        <v>1322</v>
      </c>
      <c r="K23" s="502" t="s">
        <v>20</v>
      </c>
      <c r="L23" s="502">
        <v>640</v>
      </c>
      <c r="M23" s="502">
        <v>450</v>
      </c>
    </row>
    <row r="24" spans="1:13" s="79" customFormat="1" ht="34.5" customHeight="1" thickTop="1" thickBot="1" x14ac:dyDescent="0.25">
      <c r="A24" s="629" t="s">
        <v>2555</v>
      </c>
      <c r="B24" s="507" t="s">
        <v>1353</v>
      </c>
      <c r="C24" s="688" t="s">
        <v>1323</v>
      </c>
      <c r="D24" s="507">
        <v>3</v>
      </c>
      <c r="E24" s="507">
        <v>30</v>
      </c>
      <c r="F24" s="507">
        <v>3</v>
      </c>
      <c r="G24" s="507">
        <v>521</v>
      </c>
      <c r="H24" s="509">
        <v>500000</v>
      </c>
      <c r="I24" s="509">
        <v>0</v>
      </c>
      <c r="J24" s="334" t="s">
        <v>1324</v>
      </c>
      <c r="K24" s="506" t="s">
        <v>46</v>
      </c>
      <c r="L24" s="306">
        <v>30</v>
      </c>
      <c r="M24" s="306">
        <v>0</v>
      </c>
    </row>
    <row r="25" spans="1:13" s="79" customFormat="1" ht="34.5" customHeight="1" thickTop="1" thickBot="1" x14ac:dyDescent="0.25">
      <c r="A25" s="629" t="s">
        <v>2555</v>
      </c>
      <c r="B25" s="507" t="s">
        <v>1353</v>
      </c>
      <c r="C25" s="688"/>
      <c r="D25" s="507">
        <v>3</v>
      </c>
      <c r="E25" s="507">
        <v>30</v>
      </c>
      <c r="F25" s="507">
        <v>3</v>
      </c>
      <c r="G25" s="507">
        <v>522</v>
      </c>
      <c r="H25" s="509">
        <v>466394936</v>
      </c>
      <c r="I25" s="509">
        <v>65325017</v>
      </c>
      <c r="J25" s="334" t="s">
        <v>2150</v>
      </c>
      <c r="K25" s="506" t="s">
        <v>55</v>
      </c>
      <c r="L25" s="306">
        <v>6</v>
      </c>
      <c r="M25" s="306">
        <v>1</v>
      </c>
    </row>
    <row r="26" spans="1:13" s="79" customFormat="1" ht="48" customHeight="1" thickTop="1" thickBot="1" x14ac:dyDescent="0.25">
      <c r="A26" s="629" t="s">
        <v>2555</v>
      </c>
      <c r="B26" s="507" t="s">
        <v>1353</v>
      </c>
      <c r="C26" s="543" t="s">
        <v>53</v>
      </c>
      <c r="D26" s="507">
        <v>3</v>
      </c>
      <c r="E26" s="507">
        <v>30</v>
      </c>
      <c r="F26" s="507">
        <v>3</v>
      </c>
      <c r="G26" s="507">
        <v>980</v>
      </c>
      <c r="H26" s="509">
        <v>406000000</v>
      </c>
      <c r="I26" s="509">
        <v>405945537</v>
      </c>
      <c r="J26" s="334" t="s">
        <v>1325</v>
      </c>
      <c r="K26" s="506" t="s">
        <v>16</v>
      </c>
      <c r="L26" s="306">
        <v>10</v>
      </c>
      <c r="M26" s="306">
        <v>10</v>
      </c>
    </row>
    <row r="27" spans="1:13" s="186" customFormat="1" ht="17.25" customHeight="1" thickTop="1" thickBot="1" x14ac:dyDescent="0.25">
      <c r="A27" s="64"/>
      <c r="B27" s="64"/>
      <c r="C27" s="64"/>
      <c r="D27" s="64"/>
      <c r="E27" s="64"/>
      <c r="F27" s="64"/>
      <c r="G27" s="64"/>
      <c r="H27" s="197"/>
      <c r="I27" s="165"/>
      <c r="J27" s="196"/>
      <c r="K27" s="196"/>
      <c r="L27" s="197"/>
      <c r="M27" s="197"/>
    </row>
    <row r="28" spans="1:13" s="83" customFormat="1" ht="30" customHeight="1" thickTop="1" thickBot="1" x14ac:dyDescent="0.3">
      <c r="A28" s="639" t="s">
        <v>0</v>
      </c>
      <c r="B28" s="639" t="s">
        <v>1</v>
      </c>
      <c r="C28" s="639" t="s">
        <v>2569</v>
      </c>
      <c r="D28" s="636" t="s">
        <v>1961</v>
      </c>
      <c r="E28" s="637"/>
      <c r="F28" s="637"/>
      <c r="G28" s="638"/>
      <c r="H28" s="636" t="s">
        <v>3</v>
      </c>
      <c r="I28" s="637"/>
      <c r="J28" s="636" t="s">
        <v>1962</v>
      </c>
      <c r="K28" s="637"/>
      <c r="L28" s="637"/>
      <c r="M28" s="637"/>
    </row>
    <row r="29" spans="1:13" s="83" customFormat="1" ht="35.25" customHeight="1" thickTop="1" thickBot="1" x14ac:dyDescent="0.3">
      <c r="A29" s="661"/>
      <c r="B29" s="661"/>
      <c r="C29" s="661"/>
      <c r="D29" s="499" t="s">
        <v>4</v>
      </c>
      <c r="E29" s="499" t="s">
        <v>5</v>
      </c>
      <c r="F29" s="499" t="s">
        <v>6</v>
      </c>
      <c r="G29" s="499" t="s">
        <v>7</v>
      </c>
      <c r="H29" s="499" t="s">
        <v>2</v>
      </c>
      <c r="I29" s="499" t="s">
        <v>3</v>
      </c>
      <c r="J29" s="499" t="s">
        <v>8</v>
      </c>
      <c r="K29" s="499" t="s">
        <v>9</v>
      </c>
      <c r="L29" s="499" t="s">
        <v>1963</v>
      </c>
      <c r="M29" s="513" t="s">
        <v>1964</v>
      </c>
    </row>
    <row r="30" spans="1:13" s="79" customFormat="1" ht="46.5" thickTop="1" thickBot="1" x14ac:dyDescent="0.25">
      <c r="A30" s="507" t="s">
        <v>2466</v>
      </c>
      <c r="B30" s="507" t="s">
        <v>1353</v>
      </c>
      <c r="C30" s="543" t="s">
        <v>18</v>
      </c>
      <c r="D30" s="544">
        <v>2</v>
      </c>
      <c r="E30" s="544">
        <v>30</v>
      </c>
      <c r="F30" s="544">
        <v>3</v>
      </c>
      <c r="G30" s="544">
        <v>848</v>
      </c>
      <c r="H30" s="509">
        <v>251915242</v>
      </c>
      <c r="I30" s="509">
        <v>23058000</v>
      </c>
      <c r="J30" s="545" t="s">
        <v>1326</v>
      </c>
      <c r="K30" s="544" t="s">
        <v>20</v>
      </c>
      <c r="L30" s="544">
        <v>203</v>
      </c>
      <c r="M30" s="544">
        <v>203</v>
      </c>
    </row>
    <row r="31" spans="1:13" s="79" customFormat="1" ht="46.5" customHeight="1" thickTop="1" thickBot="1" x14ac:dyDescent="0.25">
      <c r="A31" s="620" t="s">
        <v>2466</v>
      </c>
      <c r="B31" s="507" t="s">
        <v>1353</v>
      </c>
      <c r="C31" s="722" t="s">
        <v>53</v>
      </c>
      <c r="D31" s="544">
        <v>2</v>
      </c>
      <c r="E31" s="544">
        <v>30</v>
      </c>
      <c r="F31" s="544">
        <v>3</v>
      </c>
      <c r="G31" s="544">
        <v>521</v>
      </c>
      <c r="H31" s="509">
        <f>576318581-H32-H33-H34</f>
        <v>203382381</v>
      </c>
      <c r="I31" s="509">
        <f>497838760-I32-I33-I34</f>
        <v>124902560</v>
      </c>
      <c r="J31" s="545" t="s">
        <v>1334</v>
      </c>
      <c r="K31" s="544" t="s">
        <v>1327</v>
      </c>
      <c r="L31" s="544">
        <v>2</v>
      </c>
      <c r="M31" s="544">
        <v>1</v>
      </c>
    </row>
    <row r="32" spans="1:13" s="79" customFormat="1" ht="37.5" customHeight="1" thickTop="1" thickBot="1" x14ac:dyDescent="0.25">
      <c r="A32" s="620" t="s">
        <v>2466</v>
      </c>
      <c r="B32" s="507" t="s">
        <v>1353</v>
      </c>
      <c r="C32" s="723"/>
      <c r="D32" s="544">
        <v>2</v>
      </c>
      <c r="E32" s="544">
        <v>30</v>
      </c>
      <c r="F32" s="544">
        <v>3</v>
      </c>
      <c r="G32" s="544">
        <v>521</v>
      </c>
      <c r="H32" s="509">
        <v>123715000</v>
      </c>
      <c r="I32" s="509">
        <v>123715000</v>
      </c>
      <c r="J32" s="545" t="s">
        <v>1328</v>
      </c>
      <c r="K32" s="544" t="s">
        <v>25</v>
      </c>
      <c r="L32" s="544">
        <v>5</v>
      </c>
      <c r="M32" s="544">
        <v>5</v>
      </c>
    </row>
    <row r="33" spans="1:13" s="79" customFormat="1" ht="37.5" customHeight="1" thickTop="1" thickBot="1" x14ac:dyDescent="0.25">
      <c r="A33" s="620" t="s">
        <v>2466</v>
      </c>
      <c r="B33" s="507" t="s">
        <v>1353</v>
      </c>
      <c r="C33" s="724"/>
      <c r="D33" s="544">
        <v>2</v>
      </c>
      <c r="E33" s="544">
        <v>30</v>
      </c>
      <c r="F33" s="544">
        <v>3</v>
      </c>
      <c r="G33" s="544">
        <v>521</v>
      </c>
      <c r="H33" s="509">
        <f>(139221200)</f>
        <v>139221200</v>
      </c>
      <c r="I33" s="509">
        <f>64674290+74546910</f>
        <v>139221200</v>
      </c>
      <c r="J33" s="545" t="s">
        <v>1335</v>
      </c>
      <c r="K33" s="544" t="s">
        <v>55</v>
      </c>
      <c r="L33" s="544">
        <v>3</v>
      </c>
      <c r="M33" s="544">
        <v>3</v>
      </c>
    </row>
    <row r="34" spans="1:13" s="79" customFormat="1" ht="46.5" thickTop="1" thickBot="1" x14ac:dyDescent="0.25">
      <c r="A34" s="620" t="s">
        <v>2466</v>
      </c>
      <c r="B34" s="507" t="s">
        <v>1353</v>
      </c>
      <c r="C34" s="543" t="s">
        <v>1323</v>
      </c>
      <c r="D34" s="544">
        <v>2</v>
      </c>
      <c r="E34" s="544">
        <v>30</v>
      </c>
      <c r="F34" s="544">
        <v>3</v>
      </c>
      <c r="G34" s="544">
        <v>521</v>
      </c>
      <c r="H34" s="509">
        <v>110000000</v>
      </c>
      <c r="I34" s="509">
        <v>110000000</v>
      </c>
      <c r="J34" s="545" t="s">
        <v>1329</v>
      </c>
      <c r="K34" s="544" t="s">
        <v>11</v>
      </c>
      <c r="L34" s="544">
        <v>28584</v>
      </c>
      <c r="M34" s="544">
        <v>28584</v>
      </c>
    </row>
    <row r="35" spans="1:13" s="79" customFormat="1" ht="46.5" thickTop="1" thickBot="1" x14ac:dyDescent="0.25">
      <c r="A35" s="620" t="s">
        <v>2466</v>
      </c>
      <c r="B35" s="507" t="s">
        <v>1353</v>
      </c>
      <c r="C35" s="543" t="s">
        <v>53</v>
      </c>
      <c r="D35" s="544">
        <v>2</v>
      </c>
      <c r="E35" s="544">
        <v>30</v>
      </c>
      <c r="F35" s="544">
        <v>3</v>
      </c>
      <c r="G35" s="544">
        <v>980</v>
      </c>
      <c r="H35" s="509">
        <v>11483650</v>
      </c>
      <c r="I35" s="509">
        <v>0</v>
      </c>
      <c r="J35" s="545" t="s">
        <v>1333</v>
      </c>
      <c r="K35" s="544" t="s">
        <v>16</v>
      </c>
      <c r="L35" s="544">
        <v>1</v>
      </c>
      <c r="M35" s="544">
        <v>0</v>
      </c>
    </row>
    <row r="36" spans="1:13" s="186" customFormat="1" ht="19.5" customHeight="1" thickTop="1" thickBot="1" x14ac:dyDescent="0.25">
      <c r="A36" s="64"/>
      <c r="B36" s="64"/>
      <c r="C36" s="541"/>
      <c r="D36" s="542"/>
      <c r="E36" s="542"/>
      <c r="F36" s="542"/>
      <c r="G36" s="542"/>
      <c r="H36" s="542"/>
      <c r="I36" s="542"/>
      <c r="J36" s="542"/>
      <c r="K36" s="542"/>
      <c r="L36" s="542"/>
      <c r="M36" s="542"/>
    </row>
    <row r="37" spans="1:13" s="83" customFormat="1" ht="30" customHeight="1" thickTop="1" thickBot="1" x14ac:dyDescent="0.3">
      <c r="A37" s="639" t="s">
        <v>0</v>
      </c>
      <c r="B37" s="639" t="s">
        <v>1</v>
      </c>
      <c r="C37" s="639" t="s">
        <v>2569</v>
      </c>
      <c r="D37" s="636" t="s">
        <v>1961</v>
      </c>
      <c r="E37" s="637"/>
      <c r="F37" s="637"/>
      <c r="G37" s="638"/>
      <c r="H37" s="636" t="s">
        <v>3</v>
      </c>
      <c r="I37" s="637"/>
      <c r="J37" s="636" t="s">
        <v>1962</v>
      </c>
      <c r="K37" s="637"/>
      <c r="L37" s="637"/>
      <c r="M37" s="637"/>
    </row>
    <row r="38" spans="1:13" s="83" customFormat="1" ht="34.5" customHeight="1" thickTop="1" thickBot="1" x14ac:dyDescent="0.3">
      <c r="A38" s="661"/>
      <c r="B38" s="661"/>
      <c r="C38" s="661"/>
      <c r="D38" s="499" t="s">
        <v>4</v>
      </c>
      <c r="E38" s="499" t="s">
        <v>5</v>
      </c>
      <c r="F38" s="499" t="s">
        <v>6</v>
      </c>
      <c r="G38" s="499" t="s">
        <v>7</v>
      </c>
      <c r="H38" s="499" t="s">
        <v>2</v>
      </c>
      <c r="I38" s="499" t="s">
        <v>3</v>
      </c>
      <c r="J38" s="499" t="s">
        <v>8</v>
      </c>
      <c r="K38" s="499" t="s">
        <v>9</v>
      </c>
      <c r="L38" s="499" t="s">
        <v>1963</v>
      </c>
      <c r="M38" s="513" t="s">
        <v>1964</v>
      </c>
    </row>
    <row r="39" spans="1:13" s="79" customFormat="1" ht="48.75" customHeight="1" thickTop="1" thickBot="1" x14ac:dyDescent="0.25">
      <c r="A39" s="507" t="s">
        <v>2556</v>
      </c>
      <c r="B39" s="507" t="s">
        <v>1353</v>
      </c>
      <c r="C39" s="507" t="s">
        <v>18</v>
      </c>
      <c r="D39" s="507">
        <v>2</v>
      </c>
      <c r="E39" s="507">
        <v>30</v>
      </c>
      <c r="F39" s="507">
        <v>3</v>
      </c>
      <c r="G39" s="507">
        <v>848</v>
      </c>
      <c r="H39" s="509">
        <v>180000000</v>
      </c>
      <c r="I39" s="509">
        <v>35276076</v>
      </c>
      <c r="J39" s="334" t="s">
        <v>1330</v>
      </c>
      <c r="K39" s="506" t="s">
        <v>20</v>
      </c>
      <c r="L39" s="306">
        <v>900</v>
      </c>
      <c r="M39" s="306">
        <v>180</v>
      </c>
    </row>
    <row r="40" spans="1:13" s="79" customFormat="1" ht="41.25" customHeight="1" thickTop="1" thickBot="1" x14ac:dyDescent="0.25">
      <c r="A40" s="629" t="s">
        <v>2556</v>
      </c>
      <c r="B40" s="507" t="s">
        <v>1353</v>
      </c>
      <c r="C40" s="688" t="s">
        <v>53</v>
      </c>
      <c r="D40" s="507">
        <v>3</v>
      </c>
      <c r="E40" s="507">
        <v>30</v>
      </c>
      <c r="F40" s="507">
        <v>3</v>
      </c>
      <c r="G40" s="507">
        <v>520</v>
      </c>
      <c r="H40" s="509">
        <v>300000000</v>
      </c>
      <c r="I40" s="509">
        <v>0</v>
      </c>
      <c r="J40" s="334" t="s">
        <v>1331</v>
      </c>
      <c r="K40" s="506" t="s">
        <v>55</v>
      </c>
      <c r="L40" s="306">
        <v>20</v>
      </c>
      <c r="M40" s="306">
        <v>0</v>
      </c>
    </row>
    <row r="41" spans="1:13" s="79" customFormat="1" ht="41.25" customHeight="1" thickTop="1" thickBot="1" x14ac:dyDescent="0.25">
      <c r="A41" s="629" t="s">
        <v>2556</v>
      </c>
      <c r="B41" s="507" t="s">
        <v>1353</v>
      </c>
      <c r="C41" s="688"/>
      <c r="D41" s="507">
        <v>3</v>
      </c>
      <c r="E41" s="507">
        <v>30</v>
      </c>
      <c r="F41" s="507">
        <v>3</v>
      </c>
      <c r="G41" s="507">
        <v>520</v>
      </c>
      <c r="H41" s="509">
        <v>120000000</v>
      </c>
      <c r="I41" s="509">
        <v>0</v>
      </c>
      <c r="J41" s="334" t="s">
        <v>1332</v>
      </c>
      <c r="K41" s="506" t="s">
        <v>11</v>
      </c>
      <c r="L41" s="306">
        <v>1540</v>
      </c>
      <c r="M41" s="306">
        <v>0</v>
      </c>
    </row>
    <row r="42" spans="1:13" s="83" customFormat="1" ht="15.75" thickTop="1" x14ac:dyDescent="0.25"/>
    <row r="43" spans="1:13" s="83" customFormat="1" x14ac:dyDescent="0.25"/>
    <row r="44" spans="1:13" s="83" customFormat="1" x14ac:dyDescent="0.25"/>
    <row r="45" spans="1:13" s="83" customFormat="1" x14ac:dyDescent="0.25"/>
    <row r="46" spans="1:13" s="83" customFormat="1" x14ac:dyDescent="0.25"/>
    <row r="47" spans="1:13" s="83" customFormat="1" x14ac:dyDescent="0.25"/>
    <row r="48" spans="1:13" s="83" customFormat="1" x14ac:dyDescent="0.25"/>
    <row r="49" s="83" customFormat="1" x14ac:dyDescent="0.25"/>
    <row r="50" s="83" customFormat="1" x14ac:dyDescent="0.25"/>
    <row r="51" s="83" customFormat="1" x14ac:dyDescent="0.25"/>
  </sheetData>
  <mergeCells count="35">
    <mergeCell ref="B5:B6"/>
    <mergeCell ref="C5:C6"/>
    <mergeCell ref="D5:G5"/>
    <mergeCell ref="C40:C41"/>
    <mergeCell ref="C28:C29"/>
    <mergeCell ref="B21:B22"/>
    <mergeCell ref="C21:C22"/>
    <mergeCell ref="D21:G21"/>
    <mergeCell ref="B14:B15"/>
    <mergeCell ref="C14:C15"/>
    <mergeCell ref="B28:B29"/>
    <mergeCell ref="D28:G28"/>
    <mergeCell ref="B37:B38"/>
    <mergeCell ref="C37:C38"/>
    <mergeCell ref="D37:G37"/>
    <mergeCell ref="D14:G14"/>
    <mergeCell ref="A5:A6"/>
    <mergeCell ref="A14:A15"/>
    <mergeCell ref="A21:A22"/>
    <mergeCell ref="A28:A29"/>
    <mergeCell ref="A37:A38"/>
    <mergeCell ref="J37:M37"/>
    <mergeCell ref="C17:C18"/>
    <mergeCell ref="C31:C33"/>
    <mergeCell ref="H5:I5"/>
    <mergeCell ref="J5:M5"/>
    <mergeCell ref="H14:I14"/>
    <mergeCell ref="J14:M14"/>
    <mergeCell ref="H21:I21"/>
    <mergeCell ref="J21:M21"/>
    <mergeCell ref="C24:C25"/>
    <mergeCell ref="C8:C11"/>
    <mergeCell ref="H28:I28"/>
    <mergeCell ref="J28:M28"/>
    <mergeCell ref="H37:I37"/>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142"/>
  <sheetViews>
    <sheetView showGridLines="0" workbookViewId="0">
      <selection activeCell="C5" sqref="C5:C6"/>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2.42578125" customWidth="1"/>
    <col min="11" max="11" width="12.140625" customWidth="1"/>
    <col min="12" max="13" width="15.140625" customWidth="1"/>
  </cols>
  <sheetData>
    <row r="4" spans="1:13" ht="15.75" thickBot="1" x14ac:dyDescent="0.3"/>
    <row r="5" spans="1:13" s="83" customFormat="1" ht="30" customHeight="1" thickTop="1" thickBot="1" x14ac:dyDescent="0.3">
      <c r="A5" s="639" t="s">
        <v>0</v>
      </c>
      <c r="B5" s="639" t="s">
        <v>1</v>
      </c>
      <c r="C5" s="639" t="s">
        <v>2569</v>
      </c>
      <c r="D5" s="636" t="s">
        <v>1961</v>
      </c>
      <c r="E5" s="637"/>
      <c r="F5" s="637"/>
      <c r="G5" s="638"/>
      <c r="H5" s="636" t="s">
        <v>3</v>
      </c>
      <c r="I5" s="637"/>
      <c r="J5" s="636" t="s">
        <v>1962</v>
      </c>
      <c r="K5" s="637"/>
      <c r="L5" s="637"/>
      <c r="M5" s="637"/>
    </row>
    <row r="6" spans="1:13" s="83" customFormat="1" ht="36.75" customHeight="1" thickTop="1" thickBot="1" x14ac:dyDescent="0.3">
      <c r="A6" s="661"/>
      <c r="B6" s="661"/>
      <c r="C6" s="661"/>
      <c r="D6" s="515" t="s">
        <v>4</v>
      </c>
      <c r="E6" s="515" t="s">
        <v>5</v>
      </c>
      <c r="F6" s="515" t="s">
        <v>6</v>
      </c>
      <c r="G6" s="515" t="s">
        <v>7</v>
      </c>
      <c r="H6" s="515" t="s">
        <v>2</v>
      </c>
      <c r="I6" s="515" t="s">
        <v>3</v>
      </c>
      <c r="J6" s="515" t="s">
        <v>8</v>
      </c>
      <c r="K6" s="515" t="s">
        <v>9</v>
      </c>
      <c r="L6" s="515" t="s">
        <v>1963</v>
      </c>
      <c r="M6" s="513" t="s">
        <v>1964</v>
      </c>
    </row>
    <row r="7" spans="1:13" s="79" customFormat="1" ht="57.75" customHeight="1" thickTop="1" thickBot="1" x14ac:dyDescent="0.25">
      <c r="A7" s="522" t="s">
        <v>2469</v>
      </c>
      <c r="B7" s="522" t="s">
        <v>2557</v>
      </c>
      <c r="C7" s="520" t="s">
        <v>18</v>
      </c>
      <c r="D7" s="520">
        <v>3</v>
      </c>
      <c r="E7" s="520">
        <v>30</v>
      </c>
      <c r="F7" s="520">
        <v>3</v>
      </c>
      <c r="G7" s="520">
        <v>848</v>
      </c>
      <c r="H7" s="517">
        <v>750000000</v>
      </c>
      <c r="I7" s="517">
        <v>575640000</v>
      </c>
      <c r="J7" s="518" t="s">
        <v>2151</v>
      </c>
      <c r="K7" s="520" t="s">
        <v>20</v>
      </c>
      <c r="L7" s="519">
        <v>919</v>
      </c>
      <c r="M7" s="519">
        <v>919</v>
      </c>
    </row>
    <row r="8" spans="1:13" s="79" customFormat="1" ht="38.25" customHeight="1" thickTop="1" thickBot="1" x14ac:dyDescent="0.25">
      <c r="A8" s="620" t="s">
        <v>2469</v>
      </c>
      <c r="B8" s="629" t="s">
        <v>2557</v>
      </c>
      <c r="C8" s="659" t="s">
        <v>53</v>
      </c>
      <c r="D8" s="520">
        <v>3</v>
      </c>
      <c r="E8" s="520">
        <v>30</v>
      </c>
      <c r="F8" s="520">
        <v>3</v>
      </c>
      <c r="G8" s="520">
        <v>520</v>
      </c>
      <c r="H8" s="517">
        <v>910000000</v>
      </c>
      <c r="I8" s="517">
        <f>23677768+69052517+34973812+45592742+24780626+4391169+41965786+41965786+44448421+30697540+30436737+29876284+30781011+30109741+31812840+96342008+11104593+101475694</f>
        <v>723485075</v>
      </c>
      <c r="J8" s="518" t="s">
        <v>1362</v>
      </c>
      <c r="K8" s="520" t="s">
        <v>354</v>
      </c>
      <c r="L8" s="519">
        <v>8</v>
      </c>
      <c r="M8" s="519">
        <v>6</v>
      </c>
    </row>
    <row r="9" spans="1:13" s="79" customFormat="1" ht="38.25" customHeight="1" thickTop="1" thickBot="1" x14ac:dyDescent="0.25">
      <c r="A9" s="620" t="s">
        <v>2469</v>
      </c>
      <c r="B9" s="629" t="s">
        <v>2557</v>
      </c>
      <c r="C9" s="659"/>
      <c r="D9" s="520">
        <v>3</v>
      </c>
      <c r="E9" s="520">
        <v>30</v>
      </c>
      <c r="F9" s="520">
        <v>3</v>
      </c>
      <c r="G9" s="520">
        <v>520</v>
      </c>
      <c r="H9" s="517">
        <v>240000000</v>
      </c>
      <c r="I9" s="517">
        <f>23327778+40560858+49976707+36043342+3858125+4031800+74669649+3929981</f>
        <v>236398240</v>
      </c>
      <c r="J9" s="518" t="s">
        <v>1363</v>
      </c>
      <c r="K9" s="520" t="s">
        <v>25</v>
      </c>
      <c r="L9" s="519">
        <v>3</v>
      </c>
      <c r="M9" s="519">
        <v>3</v>
      </c>
    </row>
    <row r="10" spans="1:13" s="79" customFormat="1" ht="38.25" customHeight="1" thickTop="1" thickBot="1" x14ac:dyDescent="0.25">
      <c r="A10" s="620" t="s">
        <v>2469</v>
      </c>
      <c r="B10" s="629" t="s">
        <v>2557</v>
      </c>
      <c r="C10" s="659"/>
      <c r="D10" s="520">
        <v>3</v>
      </c>
      <c r="E10" s="520">
        <v>30</v>
      </c>
      <c r="F10" s="520">
        <v>3</v>
      </c>
      <c r="G10" s="520">
        <v>520</v>
      </c>
      <c r="H10" s="517">
        <v>30000000</v>
      </c>
      <c r="I10" s="517">
        <f>8892898+468048+9703775+510725</f>
        <v>19575446</v>
      </c>
      <c r="J10" s="518" t="s">
        <v>1364</v>
      </c>
      <c r="K10" s="520" t="s">
        <v>25</v>
      </c>
      <c r="L10" s="519">
        <v>3.4</v>
      </c>
      <c r="M10" s="519">
        <v>2.2000000000000002</v>
      </c>
    </row>
    <row r="11" spans="1:13" s="79" customFormat="1" ht="38.25" customHeight="1" thickTop="1" thickBot="1" x14ac:dyDescent="0.25">
      <c r="A11" s="620" t="s">
        <v>2469</v>
      </c>
      <c r="B11" s="629" t="s">
        <v>2557</v>
      </c>
      <c r="C11" s="659"/>
      <c r="D11" s="520">
        <v>3</v>
      </c>
      <c r="E11" s="520">
        <v>30</v>
      </c>
      <c r="F11" s="520">
        <v>3</v>
      </c>
      <c r="G11" s="520">
        <v>520</v>
      </c>
      <c r="H11" s="517">
        <v>320000000</v>
      </c>
      <c r="I11" s="517">
        <f>42709853+82297199+50108001+133988844</f>
        <v>309103897</v>
      </c>
      <c r="J11" s="518" t="s">
        <v>1365</v>
      </c>
      <c r="K11" s="520" t="s">
        <v>1462</v>
      </c>
      <c r="L11" s="519">
        <v>2</v>
      </c>
      <c r="M11" s="519">
        <v>2</v>
      </c>
    </row>
    <row r="12" spans="1:13" s="79" customFormat="1" ht="42" customHeight="1" thickTop="1" thickBot="1" x14ac:dyDescent="0.25">
      <c r="A12" s="620" t="s">
        <v>2469</v>
      </c>
      <c r="B12" s="629" t="s">
        <v>2557</v>
      </c>
      <c r="C12" s="520" t="s">
        <v>105</v>
      </c>
      <c r="D12" s="520">
        <v>3</v>
      </c>
      <c r="E12" s="520">
        <v>30</v>
      </c>
      <c r="F12" s="520">
        <v>3</v>
      </c>
      <c r="G12" s="520">
        <v>540</v>
      </c>
      <c r="H12" s="517">
        <v>250000000</v>
      </c>
      <c r="I12" s="517">
        <v>0</v>
      </c>
      <c r="J12" s="518" t="s">
        <v>1366</v>
      </c>
      <c r="K12" s="459" t="s">
        <v>383</v>
      </c>
      <c r="L12" s="519">
        <v>30</v>
      </c>
      <c r="M12" s="519">
        <v>0</v>
      </c>
    </row>
    <row r="13" spans="1:13" s="186" customFormat="1" ht="18" customHeight="1" thickTop="1" thickBot="1" x14ac:dyDescent="0.25">
      <c r="A13" s="64"/>
      <c r="B13" s="64"/>
      <c r="C13" s="165"/>
      <c r="D13" s="165"/>
      <c r="E13" s="165"/>
      <c r="F13" s="165"/>
      <c r="G13" s="165"/>
      <c r="H13" s="164"/>
      <c r="I13" s="164"/>
      <c r="J13" s="165"/>
      <c r="K13" s="165"/>
      <c r="L13" s="164"/>
      <c r="M13" s="164"/>
    </row>
    <row r="14" spans="1:13" s="83" customFormat="1" ht="30" customHeight="1" thickTop="1" thickBot="1" x14ac:dyDescent="0.3">
      <c r="A14" s="639" t="s">
        <v>0</v>
      </c>
      <c r="B14" s="639" t="s">
        <v>1</v>
      </c>
      <c r="C14" s="639" t="s">
        <v>2569</v>
      </c>
      <c r="D14" s="636" t="s">
        <v>1961</v>
      </c>
      <c r="E14" s="637"/>
      <c r="F14" s="637"/>
      <c r="G14" s="638"/>
      <c r="H14" s="636" t="s">
        <v>3</v>
      </c>
      <c r="I14" s="637"/>
      <c r="J14" s="636" t="s">
        <v>1962</v>
      </c>
      <c r="K14" s="637"/>
      <c r="L14" s="637"/>
      <c r="M14" s="637"/>
    </row>
    <row r="15" spans="1:13" s="83" customFormat="1" ht="34.5" customHeight="1" thickTop="1" thickBot="1" x14ac:dyDescent="0.3">
      <c r="A15" s="661"/>
      <c r="B15" s="661"/>
      <c r="C15" s="661"/>
      <c r="D15" s="515" t="s">
        <v>4</v>
      </c>
      <c r="E15" s="515" t="s">
        <v>5</v>
      </c>
      <c r="F15" s="515" t="s">
        <v>6</v>
      </c>
      <c r="G15" s="515" t="s">
        <v>7</v>
      </c>
      <c r="H15" s="515" t="s">
        <v>2</v>
      </c>
      <c r="I15" s="515" t="s">
        <v>3</v>
      </c>
      <c r="J15" s="515" t="s">
        <v>8</v>
      </c>
      <c r="K15" s="515" t="s">
        <v>9</v>
      </c>
      <c r="L15" s="515" t="s">
        <v>1963</v>
      </c>
      <c r="M15" s="513" t="s">
        <v>1964</v>
      </c>
    </row>
    <row r="16" spans="1:13" s="79" customFormat="1" ht="30.75" customHeight="1" thickTop="1" thickBot="1" x14ac:dyDescent="0.25">
      <c r="A16" s="522" t="s">
        <v>1452</v>
      </c>
      <c r="B16" s="522" t="s">
        <v>2558</v>
      </c>
      <c r="C16" s="673" t="s">
        <v>18</v>
      </c>
      <c r="D16" s="520">
        <v>2</v>
      </c>
      <c r="E16" s="520">
        <v>30</v>
      </c>
      <c r="F16" s="520">
        <v>3</v>
      </c>
      <c r="G16" s="520">
        <v>848</v>
      </c>
      <c r="H16" s="517">
        <v>228996120</v>
      </c>
      <c r="I16" s="517">
        <v>186960000</v>
      </c>
      <c r="J16" s="518" t="s">
        <v>1367</v>
      </c>
      <c r="K16" s="520" t="s">
        <v>20</v>
      </c>
      <c r="L16" s="519">
        <v>1500</v>
      </c>
      <c r="M16" s="519">
        <v>1230</v>
      </c>
    </row>
    <row r="17" spans="1:13" s="79" customFormat="1" ht="30.75" customHeight="1" thickTop="1" thickBot="1" x14ac:dyDescent="0.25">
      <c r="A17" s="522" t="s">
        <v>1452</v>
      </c>
      <c r="B17" s="629" t="s">
        <v>2558</v>
      </c>
      <c r="C17" s="674"/>
      <c r="D17" s="520">
        <v>2</v>
      </c>
      <c r="E17" s="520">
        <v>30</v>
      </c>
      <c r="F17" s="520">
        <v>3</v>
      </c>
      <c r="G17" s="520">
        <v>960</v>
      </c>
      <c r="H17" s="517">
        <v>336000000</v>
      </c>
      <c r="I17" s="517">
        <v>336000000</v>
      </c>
      <c r="J17" s="518" t="s">
        <v>1368</v>
      </c>
      <c r="K17" s="520" t="s">
        <v>16</v>
      </c>
      <c r="L17" s="519">
        <v>1</v>
      </c>
      <c r="M17" s="519">
        <v>1</v>
      </c>
    </row>
    <row r="18" spans="1:13" s="79" customFormat="1" ht="69" thickTop="1" thickBot="1" x14ac:dyDescent="0.25">
      <c r="A18" s="522" t="s">
        <v>1452</v>
      </c>
      <c r="B18" s="629" t="s">
        <v>2558</v>
      </c>
      <c r="C18" s="673" t="s">
        <v>53</v>
      </c>
      <c r="D18" s="520">
        <v>2</v>
      </c>
      <c r="E18" s="520">
        <v>30</v>
      </c>
      <c r="F18" s="520">
        <v>3</v>
      </c>
      <c r="G18" s="520">
        <v>520</v>
      </c>
      <c r="H18" s="517">
        <v>1268324281</v>
      </c>
      <c r="I18" s="517">
        <v>828301830</v>
      </c>
      <c r="J18" s="518" t="s">
        <v>1369</v>
      </c>
      <c r="K18" s="520" t="s">
        <v>55</v>
      </c>
      <c r="L18" s="519">
        <v>6</v>
      </c>
      <c r="M18" s="519">
        <v>4</v>
      </c>
    </row>
    <row r="19" spans="1:13" s="79" customFormat="1" ht="35.25" thickTop="1" thickBot="1" x14ac:dyDescent="0.25">
      <c r="A19" s="522" t="s">
        <v>1452</v>
      </c>
      <c r="B19" s="629" t="s">
        <v>2558</v>
      </c>
      <c r="C19" s="674"/>
      <c r="D19" s="520">
        <v>2</v>
      </c>
      <c r="E19" s="520">
        <v>30</v>
      </c>
      <c r="F19" s="520">
        <v>3</v>
      </c>
      <c r="G19" s="520">
        <v>980</v>
      </c>
      <c r="H19" s="517">
        <v>50000000</v>
      </c>
      <c r="I19" s="517">
        <v>9320000</v>
      </c>
      <c r="J19" s="518" t="s">
        <v>1370</v>
      </c>
      <c r="K19" s="520" t="s">
        <v>16</v>
      </c>
      <c r="L19" s="519">
        <v>1</v>
      </c>
      <c r="M19" s="519">
        <v>1</v>
      </c>
    </row>
    <row r="20" spans="1:13" s="186" customFormat="1" ht="16.5" customHeight="1" thickTop="1" thickBot="1" x14ac:dyDescent="0.25">
      <c r="A20" s="191"/>
      <c r="B20" s="64"/>
      <c r="C20" s="192"/>
      <c r="D20" s="192"/>
      <c r="E20" s="192"/>
      <c r="F20" s="192"/>
      <c r="G20" s="192"/>
      <c r="H20" s="193"/>
      <c r="I20" s="193"/>
      <c r="J20" s="192"/>
      <c r="K20" s="192"/>
      <c r="L20" s="193"/>
      <c r="M20" s="193"/>
    </row>
    <row r="21" spans="1:13" s="83" customFormat="1" ht="30" customHeight="1" thickTop="1" thickBot="1" x14ac:dyDescent="0.3">
      <c r="A21" s="639" t="s">
        <v>0</v>
      </c>
      <c r="B21" s="639" t="s">
        <v>1</v>
      </c>
      <c r="C21" s="639" t="s">
        <v>2569</v>
      </c>
      <c r="D21" s="636" t="s">
        <v>1961</v>
      </c>
      <c r="E21" s="637"/>
      <c r="F21" s="637"/>
      <c r="G21" s="638"/>
      <c r="H21" s="636" t="s">
        <v>3</v>
      </c>
      <c r="I21" s="637"/>
      <c r="J21" s="636" t="s">
        <v>1962</v>
      </c>
      <c r="K21" s="637"/>
      <c r="L21" s="637"/>
      <c r="M21" s="637"/>
    </row>
    <row r="22" spans="1:13" s="83" customFormat="1" ht="34.5" customHeight="1" thickTop="1" thickBot="1" x14ac:dyDescent="0.3">
      <c r="A22" s="661"/>
      <c r="B22" s="661"/>
      <c r="C22" s="661"/>
      <c r="D22" s="515" t="s">
        <v>4</v>
      </c>
      <c r="E22" s="515" t="s">
        <v>5</v>
      </c>
      <c r="F22" s="515" t="s">
        <v>6</v>
      </c>
      <c r="G22" s="515" t="s">
        <v>7</v>
      </c>
      <c r="H22" s="515" t="s">
        <v>2</v>
      </c>
      <c r="I22" s="515" t="s">
        <v>3</v>
      </c>
      <c r="J22" s="515" t="s">
        <v>8</v>
      </c>
      <c r="K22" s="515" t="s">
        <v>9</v>
      </c>
      <c r="L22" s="515" t="s">
        <v>1963</v>
      </c>
      <c r="M22" s="513" t="s">
        <v>1964</v>
      </c>
    </row>
    <row r="23" spans="1:13" s="73" customFormat="1" ht="51.75" customHeight="1" thickTop="1" thickBot="1" x14ac:dyDescent="0.25">
      <c r="A23" s="522" t="s">
        <v>1455</v>
      </c>
      <c r="B23" s="629" t="s">
        <v>2558</v>
      </c>
      <c r="C23" s="520" t="s">
        <v>18</v>
      </c>
      <c r="D23" s="520">
        <v>3</v>
      </c>
      <c r="E23" s="520">
        <v>30</v>
      </c>
      <c r="F23" s="520">
        <v>3</v>
      </c>
      <c r="G23" s="520">
        <v>848</v>
      </c>
      <c r="H23" s="517">
        <v>724096155</v>
      </c>
      <c r="I23" s="517">
        <v>464484500</v>
      </c>
      <c r="J23" s="518" t="s">
        <v>1449</v>
      </c>
      <c r="K23" s="520" t="s">
        <v>20</v>
      </c>
      <c r="L23" s="519">
        <v>645</v>
      </c>
      <c r="M23" s="519">
        <v>416</v>
      </c>
    </row>
    <row r="24" spans="1:13" s="73" customFormat="1" ht="45.75" customHeight="1" thickTop="1" thickBot="1" x14ac:dyDescent="0.25">
      <c r="A24" s="522" t="s">
        <v>1455</v>
      </c>
      <c r="B24" s="629" t="s">
        <v>2558</v>
      </c>
      <c r="C24" s="673" t="s">
        <v>300</v>
      </c>
      <c r="D24" s="520">
        <v>3</v>
      </c>
      <c r="E24" s="520">
        <v>30</v>
      </c>
      <c r="F24" s="520">
        <v>3</v>
      </c>
      <c r="G24" s="520">
        <v>520</v>
      </c>
      <c r="H24" s="517">
        <v>643143360</v>
      </c>
      <c r="I24" s="517">
        <v>268143360</v>
      </c>
      <c r="J24" s="518" t="s">
        <v>287</v>
      </c>
      <c r="K24" s="520" t="s">
        <v>55</v>
      </c>
      <c r="L24" s="519">
        <v>6</v>
      </c>
      <c r="M24" s="519">
        <v>2.5</v>
      </c>
    </row>
    <row r="25" spans="1:13" s="73" customFormat="1" ht="45.75" customHeight="1" thickTop="1" thickBot="1" x14ac:dyDescent="0.25">
      <c r="A25" s="522" t="s">
        <v>1455</v>
      </c>
      <c r="B25" s="629" t="s">
        <v>2558</v>
      </c>
      <c r="C25" s="725"/>
      <c r="D25" s="520">
        <v>3</v>
      </c>
      <c r="E25" s="520">
        <v>30</v>
      </c>
      <c r="F25" s="520">
        <v>3</v>
      </c>
      <c r="G25" s="520">
        <v>520</v>
      </c>
      <c r="H25" s="517">
        <v>83889020</v>
      </c>
      <c r="I25" s="517">
        <v>83889020</v>
      </c>
      <c r="J25" s="518" t="s">
        <v>1371</v>
      </c>
      <c r="K25" s="520" t="s">
        <v>25</v>
      </c>
      <c r="L25" s="519">
        <v>2</v>
      </c>
      <c r="M25" s="519">
        <v>2</v>
      </c>
    </row>
    <row r="26" spans="1:13" s="73" customFormat="1" ht="37.5" customHeight="1" thickTop="1" thickBot="1" x14ac:dyDescent="0.25">
      <c r="A26" s="522" t="s">
        <v>1455</v>
      </c>
      <c r="B26" s="629" t="s">
        <v>2558</v>
      </c>
      <c r="C26" s="725"/>
      <c r="D26" s="520">
        <v>3</v>
      </c>
      <c r="E26" s="520">
        <v>30</v>
      </c>
      <c r="F26" s="520">
        <v>3</v>
      </c>
      <c r="G26" s="520">
        <v>520</v>
      </c>
      <c r="H26" s="517">
        <v>285933554</v>
      </c>
      <c r="I26" s="517">
        <v>255600000</v>
      </c>
      <c r="J26" s="518" t="s">
        <v>1450</v>
      </c>
      <c r="K26" s="520" t="s">
        <v>595</v>
      </c>
      <c r="L26" s="519">
        <v>2</v>
      </c>
      <c r="M26" s="519">
        <v>2</v>
      </c>
    </row>
    <row r="27" spans="1:13" s="73" customFormat="1" ht="52.5" customHeight="1" thickTop="1" thickBot="1" x14ac:dyDescent="0.25">
      <c r="A27" s="522" t="s">
        <v>1455</v>
      </c>
      <c r="B27" s="629" t="s">
        <v>2558</v>
      </c>
      <c r="C27" s="725"/>
      <c r="D27" s="520">
        <v>3</v>
      </c>
      <c r="E27" s="520">
        <v>30</v>
      </c>
      <c r="F27" s="520">
        <v>3</v>
      </c>
      <c r="G27" s="520">
        <v>520</v>
      </c>
      <c r="H27" s="517">
        <v>80000000</v>
      </c>
      <c r="I27" s="517">
        <v>80000000</v>
      </c>
      <c r="J27" s="518" t="s">
        <v>1376</v>
      </c>
      <c r="K27" s="520" t="s">
        <v>25</v>
      </c>
      <c r="L27" s="519">
        <v>2</v>
      </c>
      <c r="M27" s="519">
        <v>2</v>
      </c>
    </row>
    <row r="28" spans="1:13" s="73" customFormat="1" ht="40.5" customHeight="1" thickTop="1" thickBot="1" x14ac:dyDescent="0.25">
      <c r="A28" s="522" t="s">
        <v>1455</v>
      </c>
      <c r="B28" s="629" t="s">
        <v>2558</v>
      </c>
      <c r="C28" s="674"/>
      <c r="D28" s="520">
        <v>3</v>
      </c>
      <c r="E28" s="520">
        <v>30</v>
      </c>
      <c r="F28" s="520">
        <v>3</v>
      </c>
      <c r="G28" s="520">
        <v>520</v>
      </c>
      <c r="H28" s="517">
        <v>125000000</v>
      </c>
      <c r="I28" s="517">
        <v>125000000</v>
      </c>
      <c r="J28" s="518" t="s">
        <v>1372</v>
      </c>
      <c r="K28" s="520" t="s">
        <v>55</v>
      </c>
      <c r="L28" s="519">
        <v>1</v>
      </c>
      <c r="M28" s="519">
        <v>1</v>
      </c>
    </row>
    <row r="29" spans="1:13" s="73" customFormat="1" ht="42.75" customHeight="1" thickTop="1" thickBot="1" x14ac:dyDescent="0.25">
      <c r="A29" s="522" t="s">
        <v>1455</v>
      </c>
      <c r="B29" s="629" t="s">
        <v>2558</v>
      </c>
      <c r="C29" s="520" t="s">
        <v>1373</v>
      </c>
      <c r="D29" s="520">
        <v>3</v>
      </c>
      <c r="E29" s="520">
        <v>30</v>
      </c>
      <c r="F29" s="520">
        <v>3</v>
      </c>
      <c r="G29" s="520">
        <v>540</v>
      </c>
      <c r="H29" s="517">
        <v>108505382</v>
      </c>
      <c r="I29" s="517">
        <v>108500000</v>
      </c>
      <c r="J29" s="518" t="s">
        <v>1374</v>
      </c>
      <c r="K29" s="520" t="s">
        <v>1375</v>
      </c>
      <c r="L29" s="519">
        <v>517</v>
      </c>
      <c r="M29" s="519">
        <v>517</v>
      </c>
    </row>
    <row r="30" spans="1:13" s="73" customFormat="1" ht="46.5" customHeight="1" thickTop="1" thickBot="1" x14ac:dyDescent="0.25">
      <c r="A30" s="522" t="s">
        <v>1455</v>
      </c>
      <c r="B30" s="629" t="s">
        <v>2558</v>
      </c>
      <c r="C30" s="673" t="s">
        <v>53</v>
      </c>
      <c r="D30" s="520">
        <v>3</v>
      </c>
      <c r="E30" s="520">
        <v>30</v>
      </c>
      <c r="F30" s="520">
        <v>3</v>
      </c>
      <c r="G30" s="520">
        <v>590</v>
      </c>
      <c r="H30" s="517">
        <v>261724379</v>
      </c>
      <c r="I30" s="517">
        <v>143500000</v>
      </c>
      <c r="J30" s="518" t="s">
        <v>2152</v>
      </c>
      <c r="K30" s="520" t="s">
        <v>55</v>
      </c>
      <c r="L30" s="519">
        <v>12</v>
      </c>
      <c r="M30" s="519">
        <v>6.7</v>
      </c>
    </row>
    <row r="31" spans="1:13" s="73" customFormat="1" ht="54.75" customHeight="1" thickTop="1" thickBot="1" x14ac:dyDescent="0.25">
      <c r="A31" s="522" t="s">
        <v>1455</v>
      </c>
      <c r="B31" s="629" t="s">
        <v>2558</v>
      </c>
      <c r="C31" s="725"/>
      <c r="D31" s="520">
        <v>3</v>
      </c>
      <c r="E31" s="520">
        <v>30</v>
      </c>
      <c r="F31" s="520">
        <v>3</v>
      </c>
      <c r="G31" s="520">
        <v>590</v>
      </c>
      <c r="H31" s="517">
        <v>0</v>
      </c>
      <c r="I31" s="517">
        <v>0</v>
      </c>
      <c r="J31" s="518" t="s">
        <v>1376</v>
      </c>
      <c r="K31" s="520" t="s">
        <v>25</v>
      </c>
      <c r="L31" s="519">
        <v>2</v>
      </c>
      <c r="M31" s="519">
        <v>0</v>
      </c>
    </row>
    <row r="32" spans="1:13" s="73" customFormat="1" ht="54.75" customHeight="1" thickTop="1" thickBot="1" x14ac:dyDescent="0.25">
      <c r="A32" s="522" t="s">
        <v>1455</v>
      </c>
      <c r="B32" s="629" t="s">
        <v>2558</v>
      </c>
      <c r="C32" s="674"/>
      <c r="D32" s="520">
        <v>3</v>
      </c>
      <c r="E32" s="520">
        <v>30</v>
      </c>
      <c r="F32" s="520">
        <v>3</v>
      </c>
      <c r="G32" s="520">
        <v>980</v>
      </c>
      <c r="H32" s="517">
        <v>101362000</v>
      </c>
      <c r="I32" s="517">
        <v>82222864</v>
      </c>
      <c r="J32" s="518" t="s">
        <v>1451</v>
      </c>
      <c r="K32" s="520" t="s">
        <v>16</v>
      </c>
      <c r="L32" s="519">
        <v>2</v>
      </c>
      <c r="M32" s="519">
        <v>2</v>
      </c>
    </row>
    <row r="33" spans="1:13" s="106" customFormat="1" ht="20.25" customHeight="1" thickTop="1" thickBot="1" x14ac:dyDescent="0.25">
      <c r="A33" s="195"/>
      <c r="B33" s="194"/>
      <c r="C33" s="64"/>
      <c r="D33" s="196"/>
      <c r="E33" s="196"/>
      <c r="F33" s="196"/>
      <c r="G33" s="196"/>
      <c r="H33" s="197"/>
      <c r="I33" s="197"/>
      <c r="J33" s="196"/>
      <c r="K33" s="196"/>
      <c r="L33" s="197"/>
      <c r="M33" s="197"/>
    </row>
    <row r="34" spans="1:13" s="83" customFormat="1" ht="30" customHeight="1" thickTop="1" thickBot="1" x14ac:dyDescent="0.3">
      <c r="A34" s="639" t="s">
        <v>0</v>
      </c>
      <c r="B34" s="639" t="s">
        <v>1</v>
      </c>
      <c r="C34" s="639" t="s">
        <v>2569</v>
      </c>
      <c r="D34" s="636" t="s">
        <v>1961</v>
      </c>
      <c r="E34" s="637"/>
      <c r="F34" s="637"/>
      <c r="G34" s="638"/>
      <c r="H34" s="636" t="s">
        <v>3</v>
      </c>
      <c r="I34" s="637"/>
      <c r="J34" s="636" t="s">
        <v>1962</v>
      </c>
      <c r="K34" s="637"/>
      <c r="L34" s="637"/>
      <c r="M34" s="637"/>
    </row>
    <row r="35" spans="1:13" s="83" customFormat="1" ht="34.5" customHeight="1" thickTop="1" thickBot="1" x14ac:dyDescent="0.3">
      <c r="A35" s="661"/>
      <c r="B35" s="661"/>
      <c r="C35" s="661"/>
      <c r="D35" s="515" t="s">
        <v>4</v>
      </c>
      <c r="E35" s="515" t="s">
        <v>5</v>
      </c>
      <c r="F35" s="515" t="s">
        <v>6</v>
      </c>
      <c r="G35" s="515" t="s">
        <v>7</v>
      </c>
      <c r="H35" s="515" t="s">
        <v>2</v>
      </c>
      <c r="I35" s="515" t="s">
        <v>3</v>
      </c>
      <c r="J35" s="515" t="s">
        <v>8</v>
      </c>
      <c r="K35" s="515" t="s">
        <v>9</v>
      </c>
      <c r="L35" s="515" t="s">
        <v>1963</v>
      </c>
      <c r="M35" s="513" t="s">
        <v>1964</v>
      </c>
    </row>
    <row r="36" spans="1:13" s="73" customFormat="1" ht="71.25" customHeight="1" thickTop="1" thickBot="1" x14ac:dyDescent="0.25">
      <c r="A36" s="522" t="s">
        <v>1456</v>
      </c>
      <c r="B36" s="629" t="s">
        <v>2558</v>
      </c>
      <c r="C36" s="520" t="s">
        <v>18</v>
      </c>
      <c r="D36" s="520">
        <v>3</v>
      </c>
      <c r="E36" s="520">
        <v>30</v>
      </c>
      <c r="F36" s="520">
        <v>3</v>
      </c>
      <c r="G36" s="520">
        <v>848</v>
      </c>
      <c r="H36" s="517">
        <v>498430282</v>
      </c>
      <c r="I36" s="517">
        <v>298800000</v>
      </c>
      <c r="J36" s="518" t="s">
        <v>1453</v>
      </c>
      <c r="K36" s="520" t="s">
        <v>20</v>
      </c>
      <c r="L36" s="519">
        <v>280</v>
      </c>
      <c r="M36" s="519">
        <v>168</v>
      </c>
    </row>
    <row r="37" spans="1:13" s="73" customFormat="1" ht="48.75" customHeight="1" thickTop="1" thickBot="1" x14ac:dyDescent="0.25">
      <c r="A37" s="522" t="s">
        <v>1456</v>
      </c>
      <c r="B37" s="629" t="s">
        <v>2558</v>
      </c>
      <c r="C37" s="688" t="s">
        <v>53</v>
      </c>
      <c r="D37" s="522">
        <v>3</v>
      </c>
      <c r="E37" s="522">
        <v>30</v>
      </c>
      <c r="F37" s="522">
        <v>3</v>
      </c>
      <c r="G37" s="522">
        <v>520</v>
      </c>
      <c r="H37" s="517">
        <f>1083003989-H38</f>
        <v>750000000</v>
      </c>
      <c r="I37" s="517">
        <v>380014720</v>
      </c>
      <c r="J37" s="560" t="s">
        <v>2153</v>
      </c>
      <c r="K37" s="521" t="s">
        <v>55</v>
      </c>
      <c r="L37" s="306">
        <v>10</v>
      </c>
      <c r="M37" s="306">
        <v>5</v>
      </c>
    </row>
    <row r="38" spans="1:13" s="73" customFormat="1" ht="57" customHeight="1" thickTop="1" thickBot="1" x14ac:dyDescent="0.25">
      <c r="A38" s="522" t="s">
        <v>1456</v>
      </c>
      <c r="B38" s="629" t="s">
        <v>2558</v>
      </c>
      <c r="C38" s="688"/>
      <c r="D38" s="522">
        <v>3</v>
      </c>
      <c r="E38" s="522">
        <v>30</v>
      </c>
      <c r="F38" s="522">
        <v>3</v>
      </c>
      <c r="G38" s="522">
        <v>520</v>
      </c>
      <c r="H38" s="517">
        <v>333003989</v>
      </c>
      <c r="I38" s="517">
        <v>0</v>
      </c>
      <c r="J38" s="561" t="s">
        <v>1454</v>
      </c>
      <c r="K38" s="521" t="s">
        <v>25</v>
      </c>
      <c r="L38" s="306">
        <v>6</v>
      </c>
      <c r="M38" s="306">
        <v>0</v>
      </c>
    </row>
    <row r="39" spans="1:13" s="73" customFormat="1" ht="51.75" customHeight="1" thickTop="1" thickBot="1" x14ac:dyDescent="0.25">
      <c r="A39" s="522" t="s">
        <v>1456</v>
      </c>
      <c r="B39" s="629" t="s">
        <v>2558</v>
      </c>
      <c r="C39" s="522" t="s">
        <v>1074</v>
      </c>
      <c r="D39" s="522">
        <v>3</v>
      </c>
      <c r="E39" s="522">
        <v>30</v>
      </c>
      <c r="F39" s="522">
        <v>3</v>
      </c>
      <c r="G39" s="522">
        <v>540</v>
      </c>
      <c r="H39" s="517">
        <v>80000000</v>
      </c>
      <c r="I39" s="517">
        <v>0</v>
      </c>
      <c r="J39" s="560" t="s">
        <v>2154</v>
      </c>
      <c r="K39" s="521" t="s">
        <v>44</v>
      </c>
      <c r="L39" s="306">
        <v>200</v>
      </c>
      <c r="M39" s="306">
        <v>0</v>
      </c>
    </row>
    <row r="40" spans="1:13" s="73" customFormat="1" ht="47.25" customHeight="1" thickTop="1" thickBot="1" x14ac:dyDescent="0.25">
      <c r="A40" s="522" t="s">
        <v>1456</v>
      </c>
      <c r="B40" s="629" t="s">
        <v>2558</v>
      </c>
      <c r="C40" s="688" t="s">
        <v>440</v>
      </c>
      <c r="D40" s="522">
        <v>3</v>
      </c>
      <c r="E40" s="522">
        <v>30</v>
      </c>
      <c r="F40" s="522">
        <v>78</v>
      </c>
      <c r="G40" s="522">
        <v>520</v>
      </c>
      <c r="H40" s="517">
        <v>195000000</v>
      </c>
      <c r="I40" s="517">
        <v>140456907</v>
      </c>
      <c r="J40" s="561" t="s">
        <v>1457</v>
      </c>
      <c r="K40" s="521" t="s">
        <v>80</v>
      </c>
      <c r="L40" s="306">
        <v>128</v>
      </c>
      <c r="M40" s="306">
        <v>91</v>
      </c>
    </row>
    <row r="41" spans="1:13" s="73" customFormat="1" ht="47.25" customHeight="1" thickTop="1" thickBot="1" x14ac:dyDescent="0.25">
      <c r="A41" s="522" t="s">
        <v>1456</v>
      </c>
      <c r="B41" s="629" t="s">
        <v>2558</v>
      </c>
      <c r="C41" s="688"/>
      <c r="D41" s="522">
        <v>3</v>
      </c>
      <c r="E41" s="522">
        <v>30</v>
      </c>
      <c r="F41" s="522">
        <v>78</v>
      </c>
      <c r="G41" s="522">
        <v>520</v>
      </c>
      <c r="H41" s="517">
        <v>400000000</v>
      </c>
      <c r="I41" s="517" t="s">
        <v>123</v>
      </c>
      <c r="J41" s="561" t="s">
        <v>1458</v>
      </c>
      <c r="K41" s="521" t="s">
        <v>165</v>
      </c>
      <c r="L41" s="306">
        <v>1</v>
      </c>
      <c r="M41" s="306">
        <v>0</v>
      </c>
    </row>
    <row r="42" spans="1:13" s="73" customFormat="1" ht="47.25" customHeight="1" thickTop="1" thickBot="1" x14ac:dyDescent="0.25">
      <c r="A42" s="522" t="s">
        <v>1456</v>
      </c>
      <c r="B42" s="629" t="s">
        <v>2558</v>
      </c>
      <c r="C42" s="688"/>
      <c r="D42" s="522">
        <v>3</v>
      </c>
      <c r="E42" s="522">
        <v>30</v>
      </c>
      <c r="F42" s="522">
        <v>78</v>
      </c>
      <c r="G42" s="522">
        <v>520</v>
      </c>
      <c r="H42" s="517">
        <v>420000000</v>
      </c>
      <c r="I42" s="517">
        <v>112965063</v>
      </c>
      <c r="J42" s="561" t="s">
        <v>1459</v>
      </c>
      <c r="K42" s="521" t="s">
        <v>80</v>
      </c>
      <c r="L42" s="306">
        <v>7600</v>
      </c>
      <c r="M42" s="306">
        <v>2050</v>
      </c>
    </row>
    <row r="43" spans="1:13" s="73" customFormat="1" ht="47.25" customHeight="1" thickTop="1" thickBot="1" x14ac:dyDescent="0.25">
      <c r="A43" s="522" t="s">
        <v>1456</v>
      </c>
      <c r="B43" s="629" t="s">
        <v>2558</v>
      </c>
      <c r="C43" s="688"/>
      <c r="D43" s="522">
        <v>3</v>
      </c>
      <c r="E43" s="522">
        <v>30</v>
      </c>
      <c r="F43" s="522">
        <v>78</v>
      </c>
      <c r="G43" s="522">
        <v>520</v>
      </c>
      <c r="H43" s="517">
        <v>300110120</v>
      </c>
      <c r="I43" s="517">
        <v>149127283</v>
      </c>
      <c r="J43" s="561" t="s">
        <v>1460</v>
      </c>
      <c r="K43" s="521" t="s">
        <v>174</v>
      </c>
      <c r="L43" s="306">
        <v>5</v>
      </c>
      <c r="M43" s="306">
        <v>3</v>
      </c>
    </row>
    <row r="44" spans="1:13" s="106" customFormat="1" ht="15" customHeight="1" thickTop="1" thickBot="1" x14ac:dyDescent="0.25">
      <c r="A44" s="195"/>
      <c r="B44" s="195"/>
      <c r="C44" s="64"/>
      <c r="D44" s="64"/>
      <c r="E44" s="64"/>
      <c r="F44" s="64"/>
      <c r="G44" s="64"/>
      <c r="H44" s="559"/>
      <c r="I44" s="559"/>
      <c r="J44" s="196"/>
      <c r="K44" s="196"/>
      <c r="L44" s="197"/>
      <c r="M44" s="197"/>
    </row>
    <row r="45" spans="1:13" s="83" customFormat="1" ht="30" customHeight="1" thickTop="1" thickBot="1" x14ac:dyDescent="0.3">
      <c r="A45" s="639" t="s">
        <v>0</v>
      </c>
      <c r="B45" s="639" t="s">
        <v>1</v>
      </c>
      <c r="C45" s="639" t="s">
        <v>2569</v>
      </c>
      <c r="D45" s="636" t="s">
        <v>1961</v>
      </c>
      <c r="E45" s="637"/>
      <c r="F45" s="637"/>
      <c r="G45" s="638"/>
      <c r="H45" s="636" t="s">
        <v>3</v>
      </c>
      <c r="I45" s="637"/>
      <c r="J45" s="636" t="s">
        <v>1962</v>
      </c>
      <c r="K45" s="637"/>
      <c r="L45" s="637"/>
      <c r="M45" s="637"/>
    </row>
    <row r="46" spans="1:13" s="83" customFormat="1" ht="34.5" customHeight="1" thickTop="1" thickBot="1" x14ac:dyDescent="0.3">
      <c r="A46" s="661"/>
      <c r="B46" s="661"/>
      <c r="C46" s="661"/>
      <c r="D46" s="515" t="s">
        <v>4</v>
      </c>
      <c r="E46" s="515" t="s">
        <v>5</v>
      </c>
      <c r="F46" s="515" t="s">
        <v>6</v>
      </c>
      <c r="G46" s="515" t="s">
        <v>7</v>
      </c>
      <c r="H46" s="515" t="s">
        <v>2</v>
      </c>
      <c r="I46" s="515" t="s">
        <v>3</v>
      </c>
      <c r="J46" s="515" t="s">
        <v>8</v>
      </c>
      <c r="K46" s="515" t="s">
        <v>9</v>
      </c>
      <c r="L46" s="515" t="s">
        <v>1963</v>
      </c>
      <c r="M46" s="513" t="s">
        <v>1964</v>
      </c>
    </row>
    <row r="47" spans="1:13" s="73" customFormat="1" ht="43.5" customHeight="1" thickTop="1" thickBot="1" x14ac:dyDescent="0.25">
      <c r="A47" s="522" t="s">
        <v>2559</v>
      </c>
      <c r="B47" s="522" t="s">
        <v>2558</v>
      </c>
      <c r="C47" s="520" t="s">
        <v>18</v>
      </c>
      <c r="D47" s="520">
        <v>2</v>
      </c>
      <c r="E47" s="520">
        <v>30</v>
      </c>
      <c r="F47" s="520">
        <v>3</v>
      </c>
      <c r="G47" s="520">
        <v>848</v>
      </c>
      <c r="H47" s="517">
        <v>402000000</v>
      </c>
      <c r="I47" s="517">
        <v>402000000</v>
      </c>
      <c r="J47" s="518" t="s">
        <v>1377</v>
      </c>
      <c r="K47" s="520" t="s">
        <v>20</v>
      </c>
      <c r="L47" s="519">
        <v>2300</v>
      </c>
      <c r="M47" s="519">
        <v>2300</v>
      </c>
    </row>
    <row r="48" spans="1:13" s="73" customFormat="1" ht="43.5" customHeight="1" thickTop="1" thickBot="1" x14ac:dyDescent="0.25">
      <c r="A48" s="629" t="s">
        <v>2559</v>
      </c>
      <c r="B48" s="629" t="s">
        <v>2558</v>
      </c>
      <c r="C48" s="673" t="s">
        <v>53</v>
      </c>
      <c r="D48" s="520">
        <v>2</v>
      </c>
      <c r="E48" s="520">
        <v>30</v>
      </c>
      <c r="F48" s="520">
        <v>3</v>
      </c>
      <c r="G48" s="520">
        <v>520</v>
      </c>
      <c r="H48" s="517">
        <v>629303058</v>
      </c>
      <c r="I48" s="517">
        <v>348820050</v>
      </c>
      <c r="J48" s="518" t="s">
        <v>1378</v>
      </c>
      <c r="K48" s="520" t="s">
        <v>595</v>
      </c>
      <c r="L48" s="519">
        <v>2</v>
      </c>
      <c r="M48" s="519">
        <v>1</v>
      </c>
    </row>
    <row r="49" spans="1:13" s="73" customFormat="1" ht="32.25" customHeight="1" thickTop="1" thickBot="1" x14ac:dyDescent="0.25">
      <c r="A49" s="629" t="s">
        <v>2559</v>
      </c>
      <c r="B49" s="629" t="s">
        <v>2558</v>
      </c>
      <c r="C49" s="674"/>
      <c r="D49" s="520">
        <v>2</v>
      </c>
      <c r="E49" s="520">
        <v>30</v>
      </c>
      <c r="F49" s="520">
        <v>3</v>
      </c>
      <c r="G49" s="520">
        <v>520</v>
      </c>
      <c r="H49" s="517">
        <v>151348927</v>
      </c>
      <c r="I49" s="517">
        <v>0</v>
      </c>
      <c r="J49" s="518" t="s">
        <v>1379</v>
      </c>
      <c r="K49" s="520" t="s">
        <v>276</v>
      </c>
      <c r="L49" s="519">
        <v>1</v>
      </c>
      <c r="M49" s="519">
        <v>0</v>
      </c>
    </row>
    <row r="50" spans="1:13" s="73" customFormat="1" ht="41.25" customHeight="1" thickTop="1" thickBot="1" x14ac:dyDescent="0.25">
      <c r="A50" s="629" t="s">
        <v>2559</v>
      </c>
      <c r="B50" s="629" t="s">
        <v>2558</v>
      </c>
      <c r="C50" s="520" t="s">
        <v>90</v>
      </c>
      <c r="D50" s="520">
        <v>2</v>
      </c>
      <c r="E50" s="520">
        <v>30</v>
      </c>
      <c r="F50" s="520">
        <v>3</v>
      </c>
      <c r="G50" s="520">
        <v>520</v>
      </c>
      <c r="H50" s="517">
        <v>157348015</v>
      </c>
      <c r="I50" s="517">
        <v>100000000</v>
      </c>
      <c r="J50" s="518" t="s">
        <v>1380</v>
      </c>
      <c r="K50" s="520" t="s">
        <v>11</v>
      </c>
      <c r="L50" s="519">
        <v>1200</v>
      </c>
      <c r="M50" s="519">
        <v>770</v>
      </c>
    </row>
    <row r="51" spans="1:13" s="106" customFormat="1" ht="16.5" customHeight="1" thickTop="1" thickBot="1" x14ac:dyDescent="0.25">
      <c r="A51" s="194"/>
      <c r="B51" s="194"/>
      <c r="C51" s="66"/>
      <c r="D51" s="68"/>
      <c r="E51" s="68"/>
      <c r="F51" s="68"/>
      <c r="G51" s="68"/>
      <c r="H51" s="71"/>
      <c r="I51" s="71"/>
      <c r="J51" s="68"/>
      <c r="K51" s="68"/>
      <c r="L51" s="71"/>
      <c r="M51" s="71"/>
    </row>
    <row r="52" spans="1:13" s="83" customFormat="1" ht="30" customHeight="1" thickTop="1" thickBot="1" x14ac:dyDescent="0.3">
      <c r="A52" s="639" t="s">
        <v>0</v>
      </c>
      <c r="B52" s="639" t="s">
        <v>1</v>
      </c>
      <c r="C52" s="639" t="s">
        <v>2569</v>
      </c>
      <c r="D52" s="636" t="s">
        <v>1961</v>
      </c>
      <c r="E52" s="637"/>
      <c r="F52" s="637"/>
      <c r="G52" s="638"/>
      <c r="H52" s="636" t="s">
        <v>3</v>
      </c>
      <c r="I52" s="637"/>
      <c r="J52" s="636" t="s">
        <v>1962</v>
      </c>
      <c r="K52" s="637"/>
      <c r="L52" s="637"/>
      <c r="M52" s="637"/>
    </row>
    <row r="53" spans="1:13" s="83" customFormat="1" ht="34.5" customHeight="1" thickTop="1" thickBot="1" x14ac:dyDescent="0.3">
      <c r="A53" s="661"/>
      <c r="B53" s="661"/>
      <c r="C53" s="661"/>
      <c r="D53" s="515" t="s">
        <v>4</v>
      </c>
      <c r="E53" s="515" t="s">
        <v>5</v>
      </c>
      <c r="F53" s="515" t="s">
        <v>6</v>
      </c>
      <c r="G53" s="515" t="s">
        <v>7</v>
      </c>
      <c r="H53" s="515" t="s">
        <v>2</v>
      </c>
      <c r="I53" s="515" t="s">
        <v>3</v>
      </c>
      <c r="J53" s="515" t="s">
        <v>8</v>
      </c>
      <c r="K53" s="515" t="s">
        <v>9</v>
      </c>
      <c r="L53" s="515" t="s">
        <v>1963</v>
      </c>
      <c r="M53" s="513" t="s">
        <v>1964</v>
      </c>
    </row>
    <row r="54" spans="1:13" s="73" customFormat="1" ht="66.75" customHeight="1" thickTop="1" thickBot="1" x14ac:dyDescent="0.25">
      <c r="A54" s="522" t="s">
        <v>2560</v>
      </c>
      <c r="B54" s="522" t="s">
        <v>2558</v>
      </c>
      <c r="C54" s="520" t="s">
        <v>18</v>
      </c>
      <c r="D54" s="520">
        <v>2</v>
      </c>
      <c r="E54" s="520">
        <v>30</v>
      </c>
      <c r="F54" s="520">
        <v>3</v>
      </c>
      <c r="G54" s="520">
        <v>848</v>
      </c>
      <c r="H54" s="517">
        <v>310000000</v>
      </c>
      <c r="I54" s="517">
        <v>159075000</v>
      </c>
      <c r="J54" s="518" t="s">
        <v>1381</v>
      </c>
      <c r="K54" s="520" t="s">
        <v>20</v>
      </c>
      <c r="L54" s="519">
        <v>150</v>
      </c>
      <c r="M54" s="519">
        <v>150</v>
      </c>
    </row>
    <row r="55" spans="1:13" s="73" customFormat="1" ht="39.75" customHeight="1" thickTop="1" thickBot="1" x14ac:dyDescent="0.25">
      <c r="A55" s="629" t="s">
        <v>2560</v>
      </c>
      <c r="B55" s="629" t="s">
        <v>2558</v>
      </c>
      <c r="C55" s="673" t="s">
        <v>53</v>
      </c>
      <c r="D55" s="520">
        <v>3</v>
      </c>
      <c r="E55" s="520">
        <v>30</v>
      </c>
      <c r="F55" s="520">
        <v>3</v>
      </c>
      <c r="G55" s="520">
        <v>520</v>
      </c>
      <c r="H55" s="517">
        <v>175376770</v>
      </c>
      <c r="I55" s="517">
        <v>0</v>
      </c>
      <c r="J55" s="518" t="s">
        <v>1382</v>
      </c>
      <c r="K55" s="520" t="s">
        <v>13</v>
      </c>
      <c r="L55" s="519">
        <v>2</v>
      </c>
      <c r="M55" s="519">
        <v>0</v>
      </c>
    </row>
    <row r="56" spans="1:13" s="73" customFormat="1" ht="39" customHeight="1" thickTop="1" thickBot="1" x14ac:dyDescent="0.25">
      <c r="A56" s="629" t="s">
        <v>2560</v>
      </c>
      <c r="B56" s="629" t="s">
        <v>2558</v>
      </c>
      <c r="C56" s="725"/>
      <c r="D56" s="520">
        <v>3</v>
      </c>
      <c r="E56" s="520">
        <v>30</v>
      </c>
      <c r="F56" s="520">
        <v>3</v>
      </c>
      <c r="G56" s="520">
        <v>520</v>
      </c>
      <c r="H56" s="517">
        <v>100000000</v>
      </c>
      <c r="I56" s="517">
        <v>0</v>
      </c>
      <c r="J56" s="518" t="s">
        <v>1383</v>
      </c>
      <c r="K56" s="520" t="s">
        <v>55</v>
      </c>
      <c r="L56" s="519">
        <v>1</v>
      </c>
      <c r="M56" s="519">
        <v>0</v>
      </c>
    </row>
    <row r="57" spans="1:13" s="73" customFormat="1" ht="51.75" customHeight="1" thickTop="1" thickBot="1" x14ac:dyDescent="0.25">
      <c r="A57" s="629" t="s">
        <v>2560</v>
      </c>
      <c r="B57" s="629" t="s">
        <v>2558</v>
      </c>
      <c r="C57" s="725"/>
      <c r="D57" s="520">
        <v>3</v>
      </c>
      <c r="E57" s="520">
        <v>30</v>
      </c>
      <c r="F57" s="520">
        <v>3</v>
      </c>
      <c r="G57" s="520">
        <v>520</v>
      </c>
      <c r="H57" s="517">
        <v>60000000</v>
      </c>
      <c r="I57" s="517">
        <v>0</v>
      </c>
      <c r="J57" s="518" t="s">
        <v>1384</v>
      </c>
      <c r="K57" s="520" t="s">
        <v>25</v>
      </c>
      <c r="L57" s="519">
        <v>2</v>
      </c>
      <c r="M57" s="519">
        <v>0</v>
      </c>
    </row>
    <row r="58" spans="1:13" s="73" customFormat="1" ht="39" customHeight="1" thickTop="1" thickBot="1" x14ac:dyDescent="0.25">
      <c r="A58" s="629" t="s">
        <v>2560</v>
      </c>
      <c r="B58" s="629" t="s">
        <v>2558</v>
      </c>
      <c r="C58" s="725"/>
      <c r="D58" s="520">
        <v>3</v>
      </c>
      <c r="E58" s="520">
        <v>30</v>
      </c>
      <c r="F58" s="520">
        <v>3</v>
      </c>
      <c r="G58" s="520">
        <v>520</v>
      </c>
      <c r="H58" s="517">
        <v>236000000</v>
      </c>
      <c r="I58" s="517">
        <v>0</v>
      </c>
      <c r="J58" s="518" t="s">
        <v>1385</v>
      </c>
      <c r="K58" s="520" t="s">
        <v>28</v>
      </c>
      <c r="L58" s="519">
        <v>1</v>
      </c>
      <c r="M58" s="519">
        <v>0</v>
      </c>
    </row>
    <row r="59" spans="1:13" s="73" customFormat="1" ht="43.5" customHeight="1" thickTop="1" thickBot="1" x14ac:dyDescent="0.25">
      <c r="A59" s="629" t="s">
        <v>2560</v>
      </c>
      <c r="B59" s="629" t="s">
        <v>2558</v>
      </c>
      <c r="C59" s="674"/>
      <c r="D59" s="520">
        <v>3</v>
      </c>
      <c r="E59" s="520">
        <v>30</v>
      </c>
      <c r="F59" s="520">
        <v>3</v>
      </c>
      <c r="G59" s="520">
        <v>520</v>
      </c>
      <c r="H59" s="517">
        <v>141000000</v>
      </c>
      <c r="I59" s="517">
        <v>0</v>
      </c>
      <c r="J59" s="518" t="s">
        <v>1386</v>
      </c>
      <c r="K59" s="520" t="s">
        <v>13</v>
      </c>
      <c r="L59" s="519">
        <v>1</v>
      </c>
      <c r="M59" s="519">
        <v>0</v>
      </c>
    </row>
    <row r="60" spans="1:13" s="73" customFormat="1" ht="43.5" customHeight="1" thickTop="1" thickBot="1" x14ac:dyDescent="0.25">
      <c r="A60" s="629" t="s">
        <v>2560</v>
      </c>
      <c r="B60" s="629" t="s">
        <v>2558</v>
      </c>
      <c r="C60" s="520" t="s">
        <v>42</v>
      </c>
      <c r="D60" s="520">
        <v>3</v>
      </c>
      <c r="E60" s="520">
        <v>30</v>
      </c>
      <c r="F60" s="520">
        <v>3</v>
      </c>
      <c r="G60" s="520">
        <v>540</v>
      </c>
      <c r="H60" s="517">
        <v>14500000</v>
      </c>
      <c r="I60" s="517">
        <v>0</v>
      </c>
      <c r="J60" s="518" t="s">
        <v>1387</v>
      </c>
      <c r="K60" s="520" t="s">
        <v>17</v>
      </c>
      <c r="L60" s="519">
        <v>3</v>
      </c>
      <c r="M60" s="519">
        <v>0</v>
      </c>
    </row>
    <row r="61" spans="1:13" s="106" customFormat="1" ht="16.5" customHeight="1" thickTop="1" thickBot="1" x14ac:dyDescent="0.25">
      <c r="A61" s="194"/>
      <c r="B61" s="194"/>
      <c r="C61" s="65"/>
      <c r="D61" s="199"/>
      <c r="E61" s="199"/>
      <c r="F61" s="199"/>
      <c r="G61" s="199"/>
      <c r="H61" s="200"/>
      <c r="I61" s="200"/>
      <c r="J61" s="199"/>
      <c r="K61" s="199"/>
      <c r="L61" s="200"/>
      <c r="M61" s="200"/>
    </row>
    <row r="62" spans="1:13" s="83" customFormat="1" ht="30" customHeight="1" thickTop="1" thickBot="1" x14ac:dyDescent="0.3">
      <c r="A62" s="639" t="s">
        <v>0</v>
      </c>
      <c r="B62" s="639" t="s">
        <v>1</v>
      </c>
      <c r="C62" s="639" t="s">
        <v>2569</v>
      </c>
      <c r="D62" s="636" t="s">
        <v>1961</v>
      </c>
      <c r="E62" s="637"/>
      <c r="F62" s="637"/>
      <c r="G62" s="638"/>
      <c r="H62" s="636" t="s">
        <v>3</v>
      </c>
      <c r="I62" s="637"/>
      <c r="J62" s="636" t="s">
        <v>1962</v>
      </c>
      <c r="K62" s="637"/>
      <c r="L62" s="637"/>
      <c r="M62" s="637"/>
    </row>
    <row r="63" spans="1:13" s="83" customFormat="1" ht="37.5" customHeight="1" thickTop="1" thickBot="1" x14ac:dyDescent="0.3">
      <c r="A63" s="661"/>
      <c r="B63" s="661"/>
      <c r="C63" s="661"/>
      <c r="D63" s="515" t="s">
        <v>4</v>
      </c>
      <c r="E63" s="515" t="s">
        <v>5</v>
      </c>
      <c r="F63" s="515" t="s">
        <v>6</v>
      </c>
      <c r="G63" s="515" t="s">
        <v>7</v>
      </c>
      <c r="H63" s="515" t="s">
        <v>2</v>
      </c>
      <c r="I63" s="515" t="s">
        <v>3</v>
      </c>
      <c r="J63" s="515" t="s">
        <v>8</v>
      </c>
      <c r="K63" s="515" t="s">
        <v>9</v>
      </c>
      <c r="L63" s="515" t="s">
        <v>1963</v>
      </c>
      <c r="M63" s="513" t="s">
        <v>1964</v>
      </c>
    </row>
    <row r="64" spans="1:13" s="73" customFormat="1" ht="55.5" customHeight="1" thickTop="1" thickBot="1" x14ac:dyDescent="0.25">
      <c r="A64" s="620" t="s">
        <v>2561</v>
      </c>
      <c r="B64" s="629" t="s">
        <v>2558</v>
      </c>
      <c r="C64" s="520" t="s">
        <v>18</v>
      </c>
      <c r="D64" s="520">
        <v>2</v>
      </c>
      <c r="E64" s="520">
        <v>30</v>
      </c>
      <c r="F64" s="520">
        <v>3</v>
      </c>
      <c r="G64" s="520">
        <v>848</v>
      </c>
      <c r="H64" s="517">
        <v>416761126</v>
      </c>
      <c r="I64" s="517">
        <v>329122000</v>
      </c>
      <c r="J64" s="518" t="s">
        <v>1388</v>
      </c>
      <c r="K64" s="520" t="s">
        <v>20</v>
      </c>
      <c r="L64" s="519">
        <v>190</v>
      </c>
      <c r="M64" s="519">
        <v>149</v>
      </c>
    </row>
    <row r="65" spans="1:13" s="73" customFormat="1" ht="39.75" customHeight="1" thickTop="1" thickBot="1" x14ac:dyDescent="0.25">
      <c r="A65" s="629" t="s">
        <v>2561</v>
      </c>
      <c r="B65" s="629" t="s">
        <v>2558</v>
      </c>
      <c r="C65" s="673" t="s">
        <v>53</v>
      </c>
      <c r="D65" s="520">
        <v>2</v>
      </c>
      <c r="E65" s="520">
        <v>30</v>
      </c>
      <c r="F65" s="520">
        <v>3</v>
      </c>
      <c r="G65" s="520">
        <v>520</v>
      </c>
      <c r="H65" s="517">
        <v>192420551</v>
      </c>
      <c r="I65" s="517">
        <f>94050000+70950000</f>
        <v>165000000</v>
      </c>
      <c r="J65" s="518" t="s">
        <v>1389</v>
      </c>
      <c r="K65" s="520" t="s">
        <v>55</v>
      </c>
      <c r="L65" s="519">
        <v>2</v>
      </c>
      <c r="M65" s="519">
        <v>2</v>
      </c>
    </row>
    <row r="66" spans="1:13" s="73" customFormat="1" ht="39.75" customHeight="1" thickTop="1" thickBot="1" x14ac:dyDescent="0.25">
      <c r="A66" s="629" t="s">
        <v>2561</v>
      </c>
      <c r="B66" s="629" t="s">
        <v>2558</v>
      </c>
      <c r="C66" s="725"/>
      <c r="D66" s="520">
        <v>3</v>
      </c>
      <c r="E66" s="520">
        <v>30</v>
      </c>
      <c r="F66" s="520">
        <v>3</v>
      </c>
      <c r="G66" s="520">
        <v>520</v>
      </c>
      <c r="H66" s="517">
        <v>80000000</v>
      </c>
      <c r="I66" s="517">
        <v>68001150</v>
      </c>
      <c r="J66" s="518" t="s">
        <v>1390</v>
      </c>
      <c r="K66" s="520" t="s">
        <v>55</v>
      </c>
      <c r="L66" s="519">
        <v>1</v>
      </c>
      <c r="M66" s="519">
        <v>1</v>
      </c>
    </row>
    <row r="67" spans="1:13" s="73" customFormat="1" ht="39.75" customHeight="1" thickTop="1" thickBot="1" x14ac:dyDescent="0.25">
      <c r="A67" s="629" t="s">
        <v>2561</v>
      </c>
      <c r="B67" s="629" t="s">
        <v>2558</v>
      </c>
      <c r="C67" s="725"/>
      <c r="D67" s="520">
        <v>3</v>
      </c>
      <c r="E67" s="520">
        <v>30</v>
      </c>
      <c r="F67" s="520">
        <v>3</v>
      </c>
      <c r="G67" s="520">
        <v>520</v>
      </c>
      <c r="H67" s="517">
        <v>90000000</v>
      </c>
      <c r="I67" s="517">
        <f>24688125+26843437+30968438</f>
        <v>82500000</v>
      </c>
      <c r="J67" s="518" t="s">
        <v>1391</v>
      </c>
      <c r="K67" s="520" t="s">
        <v>55</v>
      </c>
      <c r="L67" s="519">
        <v>1</v>
      </c>
      <c r="M67" s="519">
        <v>1</v>
      </c>
    </row>
    <row r="68" spans="1:13" s="73" customFormat="1" ht="39.75" customHeight="1" thickTop="1" thickBot="1" x14ac:dyDescent="0.25">
      <c r="A68" s="629" t="s">
        <v>2561</v>
      </c>
      <c r="B68" s="629" t="s">
        <v>2558</v>
      </c>
      <c r="C68" s="725"/>
      <c r="D68" s="520">
        <v>2</v>
      </c>
      <c r="E68" s="520">
        <v>30</v>
      </c>
      <c r="F68" s="520">
        <v>3</v>
      </c>
      <c r="G68" s="520">
        <v>520</v>
      </c>
      <c r="H68" s="517">
        <v>192420551</v>
      </c>
      <c r="I68" s="517">
        <f>50865706+50865706+76744748</f>
        <v>178476160</v>
      </c>
      <c r="J68" s="518" t="s">
        <v>1392</v>
      </c>
      <c r="K68" s="520" t="s">
        <v>55</v>
      </c>
      <c r="L68" s="519">
        <v>2</v>
      </c>
      <c r="M68" s="519">
        <v>2</v>
      </c>
    </row>
    <row r="69" spans="1:13" s="73" customFormat="1" ht="39.75" customHeight="1" thickTop="1" thickBot="1" x14ac:dyDescent="0.25">
      <c r="A69" s="629" t="s">
        <v>2561</v>
      </c>
      <c r="B69" s="629" t="s">
        <v>2558</v>
      </c>
      <c r="C69" s="725"/>
      <c r="D69" s="520">
        <v>2</v>
      </c>
      <c r="E69" s="520">
        <v>30</v>
      </c>
      <c r="F69" s="520">
        <v>3</v>
      </c>
      <c r="G69" s="520">
        <v>520</v>
      </c>
      <c r="H69" s="517">
        <v>84035837</v>
      </c>
      <c r="I69" s="517">
        <f>24688125+22336875+35475000</f>
        <v>82500000</v>
      </c>
      <c r="J69" s="518" t="s">
        <v>1393</v>
      </c>
      <c r="K69" s="520" t="s">
        <v>55</v>
      </c>
      <c r="L69" s="519">
        <v>1</v>
      </c>
      <c r="M69" s="519">
        <v>1</v>
      </c>
    </row>
    <row r="70" spans="1:13" s="73" customFormat="1" ht="39.75" customHeight="1" thickTop="1" thickBot="1" x14ac:dyDescent="0.25">
      <c r="A70" s="629" t="s">
        <v>2561</v>
      </c>
      <c r="B70" s="629" t="s">
        <v>2558</v>
      </c>
      <c r="C70" s="674"/>
      <c r="D70" s="520">
        <v>2</v>
      </c>
      <c r="E70" s="520">
        <v>30</v>
      </c>
      <c r="F70" s="520">
        <v>3</v>
      </c>
      <c r="G70" s="520">
        <v>520</v>
      </c>
      <c r="H70" s="517">
        <f>85000000+119063255</f>
        <v>204063255</v>
      </c>
      <c r="I70" s="517">
        <v>0</v>
      </c>
      <c r="J70" s="518" t="s">
        <v>1394</v>
      </c>
      <c r="K70" s="520" t="s">
        <v>55</v>
      </c>
      <c r="L70" s="519">
        <v>1</v>
      </c>
      <c r="M70" s="519">
        <v>0</v>
      </c>
    </row>
    <row r="71" spans="1:13" s="73" customFormat="1" ht="70.5" customHeight="1" thickTop="1" thickBot="1" x14ac:dyDescent="0.25">
      <c r="A71" s="629" t="s">
        <v>2561</v>
      </c>
      <c r="B71" s="629" t="s">
        <v>2558</v>
      </c>
      <c r="C71" s="520" t="s">
        <v>440</v>
      </c>
      <c r="D71" s="520">
        <v>2</v>
      </c>
      <c r="E71" s="520">
        <v>30</v>
      </c>
      <c r="F71" s="520">
        <v>3</v>
      </c>
      <c r="G71" s="520">
        <v>520</v>
      </c>
      <c r="H71" s="517">
        <v>84906448</v>
      </c>
      <c r="I71" s="517">
        <v>83536000</v>
      </c>
      <c r="J71" s="518" t="s">
        <v>1395</v>
      </c>
      <c r="K71" s="520" t="s">
        <v>11</v>
      </c>
      <c r="L71" s="519">
        <v>1019</v>
      </c>
      <c r="M71" s="519">
        <v>1019</v>
      </c>
    </row>
    <row r="72" spans="1:13" s="73" customFormat="1" ht="42.75" customHeight="1" thickTop="1" thickBot="1" x14ac:dyDescent="0.25">
      <c r="A72" s="629" t="s">
        <v>2561</v>
      </c>
      <c r="B72" s="629" t="s">
        <v>2558</v>
      </c>
      <c r="C72" s="520" t="s">
        <v>53</v>
      </c>
      <c r="D72" s="520">
        <v>2</v>
      </c>
      <c r="E72" s="520">
        <v>30</v>
      </c>
      <c r="F72" s="520">
        <v>3</v>
      </c>
      <c r="G72" s="520">
        <v>580</v>
      </c>
      <c r="H72" s="517">
        <v>36000000</v>
      </c>
      <c r="I72" s="517">
        <v>0</v>
      </c>
      <c r="J72" s="518" t="s">
        <v>1396</v>
      </c>
      <c r="K72" s="520" t="s">
        <v>72</v>
      </c>
      <c r="L72" s="519">
        <v>1</v>
      </c>
      <c r="M72" s="519">
        <v>0</v>
      </c>
    </row>
    <row r="73" spans="1:13" s="106" customFormat="1" ht="14.25" customHeight="1" thickTop="1" thickBot="1" x14ac:dyDescent="0.25">
      <c r="A73" s="194"/>
      <c r="B73" s="194"/>
      <c r="C73" s="65"/>
      <c r="D73" s="199"/>
      <c r="E73" s="199"/>
      <c r="F73" s="199"/>
      <c r="G73" s="199"/>
      <c r="H73" s="201"/>
      <c r="I73" s="201"/>
      <c r="J73" s="199"/>
      <c r="K73" s="199"/>
      <c r="L73" s="201"/>
      <c r="M73" s="201"/>
    </row>
    <row r="74" spans="1:13" s="83" customFormat="1" ht="30" customHeight="1" thickTop="1" thickBot="1" x14ac:dyDescent="0.3">
      <c r="A74" s="639" t="s">
        <v>0</v>
      </c>
      <c r="B74" s="639" t="s">
        <v>1</v>
      </c>
      <c r="C74" s="639" t="s">
        <v>2569</v>
      </c>
      <c r="D74" s="636" t="s">
        <v>1961</v>
      </c>
      <c r="E74" s="637"/>
      <c r="F74" s="637"/>
      <c r="G74" s="638"/>
      <c r="H74" s="636" t="s">
        <v>3</v>
      </c>
      <c r="I74" s="637"/>
      <c r="J74" s="636" t="s">
        <v>1962</v>
      </c>
      <c r="K74" s="637"/>
      <c r="L74" s="637"/>
      <c r="M74" s="637"/>
    </row>
    <row r="75" spans="1:13" s="83" customFormat="1" ht="34.5" customHeight="1" thickTop="1" thickBot="1" x14ac:dyDescent="0.3">
      <c r="A75" s="661"/>
      <c r="B75" s="661"/>
      <c r="C75" s="661"/>
      <c r="D75" s="515" t="s">
        <v>4</v>
      </c>
      <c r="E75" s="515" t="s">
        <v>5</v>
      </c>
      <c r="F75" s="515" t="s">
        <v>6</v>
      </c>
      <c r="G75" s="515" t="s">
        <v>7</v>
      </c>
      <c r="H75" s="515" t="s">
        <v>2</v>
      </c>
      <c r="I75" s="515" t="s">
        <v>3</v>
      </c>
      <c r="J75" s="515" t="s">
        <v>8</v>
      </c>
      <c r="K75" s="515" t="s">
        <v>9</v>
      </c>
      <c r="L75" s="515" t="s">
        <v>1963</v>
      </c>
      <c r="M75" s="513" t="s">
        <v>1964</v>
      </c>
    </row>
    <row r="76" spans="1:13" s="73" customFormat="1" ht="45" customHeight="1" thickTop="1" thickBot="1" x14ac:dyDescent="0.25">
      <c r="A76" s="522" t="s">
        <v>2562</v>
      </c>
      <c r="B76" s="522" t="s">
        <v>2558</v>
      </c>
      <c r="C76" s="522" t="s">
        <v>18</v>
      </c>
      <c r="D76" s="522">
        <v>3</v>
      </c>
      <c r="E76" s="522">
        <v>30</v>
      </c>
      <c r="F76" s="522">
        <v>3</v>
      </c>
      <c r="G76" s="522">
        <v>848</v>
      </c>
      <c r="H76" s="517">
        <v>560239448</v>
      </c>
      <c r="I76" s="517">
        <v>459720000</v>
      </c>
      <c r="J76" s="334" t="s">
        <v>1397</v>
      </c>
      <c r="K76" s="521" t="s">
        <v>1398</v>
      </c>
      <c r="L76" s="562">
        <v>2500</v>
      </c>
      <c r="M76" s="562">
        <v>2050</v>
      </c>
    </row>
    <row r="77" spans="1:13" s="73" customFormat="1" ht="45" customHeight="1" thickTop="1" thickBot="1" x14ac:dyDescent="0.25">
      <c r="A77" s="629" t="s">
        <v>2562</v>
      </c>
      <c r="B77" s="629" t="s">
        <v>2558</v>
      </c>
      <c r="C77" s="688" t="s">
        <v>53</v>
      </c>
      <c r="D77" s="522">
        <v>3</v>
      </c>
      <c r="E77" s="522">
        <v>30</v>
      </c>
      <c r="F77" s="522">
        <v>3</v>
      </c>
      <c r="G77" s="522">
        <v>520</v>
      </c>
      <c r="H77" s="517">
        <v>1177225380</v>
      </c>
      <c r="I77" s="517">
        <v>1177225380</v>
      </c>
      <c r="J77" s="334" t="s">
        <v>1399</v>
      </c>
      <c r="K77" s="521" t="s">
        <v>55</v>
      </c>
      <c r="L77" s="562">
        <v>7</v>
      </c>
      <c r="M77" s="562">
        <v>6</v>
      </c>
    </row>
    <row r="78" spans="1:13" s="73" customFormat="1" ht="38.25" customHeight="1" thickTop="1" thickBot="1" x14ac:dyDescent="0.25">
      <c r="A78" s="629" t="s">
        <v>2562</v>
      </c>
      <c r="B78" s="629" t="s">
        <v>2558</v>
      </c>
      <c r="C78" s="688"/>
      <c r="D78" s="522">
        <v>3</v>
      </c>
      <c r="E78" s="522">
        <v>30</v>
      </c>
      <c r="F78" s="522">
        <v>3</v>
      </c>
      <c r="G78" s="522">
        <v>540</v>
      </c>
      <c r="H78" s="517">
        <v>130000000</v>
      </c>
      <c r="I78" s="517">
        <v>128331000</v>
      </c>
      <c r="J78" s="334" t="s">
        <v>1400</v>
      </c>
      <c r="K78" s="521" t="s">
        <v>1401</v>
      </c>
      <c r="L78" s="562">
        <v>503</v>
      </c>
      <c r="M78" s="562">
        <v>503</v>
      </c>
    </row>
    <row r="79" spans="1:13" s="106" customFormat="1" ht="16.5" customHeight="1" thickTop="1" thickBot="1" x14ac:dyDescent="0.25">
      <c r="A79" s="195"/>
      <c r="B79" s="195"/>
      <c r="C79" s="187"/>
      <c r="D79" s="187"/>
      <c r="E79" s="187"/>
      <c r="F79" s="187"/>
      <c r="G79" s="187"/>
      <c r="H79" s="190"/>
      <c r="I79" s="190"/>
      <c r="J79" s="188"/>
      <c r="K79" s="188"/>
      <c r="L79" s="189"/>
      <c r="M79" s="189"/>
    </row>
    <row r="80" spans="1:13" s="83" customFormat="1" ht="30" customHeight="1" thickTop="1" thickBot="1" x14ac:dyDescent="0.3">
      <c r="A80" s="639" t="s">
        <v>0</v>
      </c>
      <c r="B80" s="639" t="s">
        <v>1</v>
      </c>
      <c r="C80" s="639" t="s">
        <v>2569</v>
      </c>
      <c r="D80" s="636" t="s">
        <v>1961</v>
      </c>
      <c r="E80" s="637"/>
      <c r="F80" s="637"/>
      <c r="G80" s="638"/>
      <c r="H80" s="636" t="s">
        <v>3</v>
      </c>
      <c r="I80" s="637"/>
      <c r="J80" s="636" t="s">
        <v>1962</v>
      </c>
      <c r="K80" s="637"/>
      <c r="L80" s="637"/>
      <c r="M80" s="637"/>
    </row>
    <row r="81" spans="1:13" s="83" customFormat="1" ht="34.5" customHeight="1" thickTop="1" thickBot="1" x14ac:dyDescent="0.3">
      <c r="A81" s="661"/>
      <c r="B81" s="661"/>
      <c r="C81" s="661"/>
      <c r="D81" s="515" t="s">
        <v>4</v>
      </c>
      <c r="E81" s="515" t="s">
        <v>5</v>
      </c>
      <c r="F81" s="515" t="s">
        <v>6</v>
      </c>
      <c r="G81" s="515" t="s">
        <v>7</v>
      </c>
      <c r="H81" s="515" t="s">
        <v>2</v>
      </c>
      <c r="I81" s="515" t="s">
        <v>3</v>
      </c>
      <c r="J81" s="515" t="s">
        <v>8</v>
      </c>
      <c r="K81" s="515" t="s">
        <v>9</v>
      </c>
      <c r="L81" s="515" t="s">
        <v>1963</v>
      </c>
      <c r="M81" s="513" t="s">
        <v>1964</v>
      </c>
    </row>
    <row r="82" spans="1:13" s="73" customFormat="1" ht="52.5" customHeight="1" thickTop="1" thickBot="1" x14ac:dyDescent="0.25">
      <c r="A82" s="522" t="s">
        <v>2563</v>
      </c>
      <c r="B82" s="522" t="s">
        <v>2558</v>
      </c>
      <c r="C82" s="649" t="s">
        <v>18</v>
      </c>
      <c r="D82" s="671">
        <v>3</v>
      </c>
      <c r="E82" s="671">
        <v>30</v>
      </c>
      <c r="F82" s="671">
        <v>3</v>
      </c>
      <c r="G82" s="671">
        <v>848</v>
      </c>
      <c r="H82" s="517">
        <v>448805607</v>
      </c>
      <c r="I82" s="517">
        <v>344100000</v>
      </c>
      <c r="J82" s="334" t="s">
        <v>1402</v>
      </c>
      <c r="K82" s="521" t="s">
        <v>20</v>
      </c>
      <c r="L82" s="306">
        <v>185</v>
      </c>
      <c r="M82" s="306">
        <v>142</v>
      </c>
    </row>
    <row r="83" spans="1:13" s="73" customFormat="1" ht="52.5" customHeight="1" thickTop="1" thickBot="1" x14ac:dyDescent="0.25">
      <c r="A83" s="629" t="s">
        <v>2563</v>
      </c>
      <c r="B83" s="629" t="s">
        <v>2558</v>
      </c>
      <c r="C83" s="650"/>
      <c r="D83" s="671"/>
      <c r="E83" s="671"/>
      <c r="F83" s="671"/>
      <c r="G83" s="671"/>
      <c r="H83" s="517"/>
      <c r="I83" s="517"/>
      <c r="J83" s="334" t="s">
        <v>1403</v>
      </c>
      <c r="K83" s="521" t="s">
        <v>75</v>
      </c>
      <c r="L83" s="306">
        <v>44805</v>
      </c>
      <c r="M83" s="306">
        <v>34410</v>
      </c>
    </row>
    <row r="84" spans="1:13" s="73" customFormat="1" ht="45" customHeight="1" thickTop="1" thickBot="1" x14ac:dyDescent="0.25">
      <c r="A84" s="629" t="s">
        <v>2563</v>
      </c>
      <c r="B84" s="629" t="s">
        <v>2558</v>
      </c>
      <c r="C84" s="688" t="s">
        <v>53</v>
      </c>
      <c r="D84" s="522">
        <v>3</v>
      </c>
      <c r="E84" s="522">
        <v>30</v>
      </c>
      <c r="F84" s="522">
        <v>3</v>
      </c>
      <c r="G84" s="522">
        <v>520</v>
      </c>
      <c r="H84" s="517">
        <v>360000000</v>
      </c>
      <c r="I84" s="517">
        <v>209138448</v>
      </c>
      <c r="J84" s="334" t="s">
        <v>2156</v>
      </c>
      <c r="K84" s="521" t="s">
        <v>55</v>
      </c>
      <c r="L84" s="306">
        <v>4</v>
      </c>
      <c r="M84" s="306">
        <v>2</v>
      </c>
    </row>
    <row r="85" spans="1:13" s="73" customFormat="1" ht="35.25" customHeight="1" thickTop="1" thickBot="1" x14ac:dyDescent="0.25">
      <c r="A85" s="629" t="s">
        <v>2563</v>
      </c>
      <c r="B85" s="629" t="s">
        <v>2558</v>
      </c>
      <c r="C85" s="688"/>
      <c r="D85" s="522">
        <v>3</v>
      </c>
      <c r="E85" s="522">
        <v>30</v>
      </c>
      <c r="F85" s="522">
        <v>3</v>
      </c>
      <c r="G85" s="522">
        <v>520</v>
      </c>
      <c r="H85" s="517">
        <v>150000000</v>
      </c>
      <c r="I85" s="517">
        <v>0</v>
      </c>
      <c r="J85" s="334" t="s">
        <v>1404</v>
      </c>
      <c r="K85" s="521" t="s">
        <v>13</v>
      </c>
      <c r="L85" s="306">
        <v>1</v>
      </c>
      <c r="M85" s="306">
        <v>0</v>
      </c>
    </row>
    <row r="86" spans="1:13" s="73" customFormat="1" ht="37.5" customHeight="1" thickTop="1" thickBot="1" x14ac:dyDescent="0.25">
      <c r="A86" s="629" t="s">
        <v>2563</v>
      </c>
      <c r="B86" s="629" t="s">
        <v>2558</v>
      </c>
      <c r="C86" s="688"/>
      <c r="D86" s="522">
        <v>3</v>
      </c>
      <c r="E86" s="522">
        <v>30</v>
      </c>
      <c r="F86" s="522">
        <v>3</v>
      </c>
      <c r="G86" s="522">
        <v>520</v>
      </c>
      <c r="H86" s="517">
        <v>38009345</v>
      </c>
      <c r="I86" s="517">
        <v>0</v>
      </c>
      <c r="J86" s="334" t="s">
        <v>1405</v>
      </c>
      <c r="K86" s="521" t="s">
        <v>81</v>
      </c>
      <c r="L86" s="306">
        <v>2</v>
      </c>
      <c r="M86" s="306">
        <v>0</v>
      </c>
    </row>
    <row r="87" spans="1:13" s="73" customFormat="1" ht="37.5" customHeight="1" thickTop="1" thickBot="1" x14ac:dyDescent="0.25">
      <c r="A87" s="629" t="s">
        <v>2563</v>
      </c>
      <c r="B87" s="629" t="s">
        <v>2558</v>
      </c>
      <c r="C87" s="522" t="s">
        <v>90</v>
      </c>
      <c r="D87" s="521">
        <v>3</v>
      </c>
      <c r="E87" s="521">
        <v>30</v>
      </c>
      <c r="F87" s="521">
        <v>3</v>
      </c>
      <c r="G87" s="521">
        <v>520</v>
      </c>
      <c r="H87" s="517">
        <v>299203738</v>
      </c>
      <c r="I87" s="517">
        <v>221427400</v>
      </c>
      <c r="J87" s="334" t="s">
        <v>2155</v>
      </c>
      <c r="K87" s="521" t="s">
        <v>11</v>
      </c>
      <c r="L87" s="306">
        <v>4000</v>
      </c>
      <c r="M87" s="306">
        <v>2950</v>
      </c>
    </row>
    <row r="88" spans="1:13" s="73" customFormat="1" ht="37.5" customHeight="1" thickTop="1" thickBot="1" x14ac:dyDescent="0.25">
      <c r="A88" s="629" t="s">
        <v>2563</v>
      </c>
      <c r="B88" s="629" t="s">
        <v>2558</v>
      </c>
      <c r="C88" s="688" t="s">
        <v>42</v>
      </c>
      <c r="D88" s="521">
        <v>3</v>
      </c>
      <c r="E88" s="521">
        <v>30</v>
      </c>
      <c r="F88" s="521">
        <v>3</v>
      </c>
      <c r="G88" s="521">
        <v>530</v>
      </c>
      <c r="H88" s="517">
        <v>50000000</v>
      </c>
      <c r="I88" s="517">
        <v>0</v>
      </c>
      <c r="J88" s="334" t="s">
        <v>1406</v>
      </c>
      <c r="K88" s="521" t="s">
        <v>17</v>
      </c>
      <c r="L88" s="306">
        <v>15</v>
      </c>
      <c r="M88" s="306">
        <v>0</v>
      </c>
    </row>
    <row r="89" spans="1:13" s="73" customFormat="1" ht="30.75" customHeight="1" thickTop="1" thickBot="1" x14ac:dyDescent="0.25">
      <c r="A89" s="629" t="s">
        <v>2563</v>
      </c>
      <c r="B89" s="629" t="s">
        <v>2558</v>
      </c>
      <c r="C89" s="688"/>
      <c r="D89" s="521">
        <v>3</v>
      </c>
      <c r="E89" s="521">
        <v>30</v>
      </c>
      <c r="F89" s="521">
        <v>3</v>
      </c>
      <c r="G89" s="521">
        <v>540</v>
      </c>
      <c r="H89" s="517">
        <v>31110000</v>
      </c>
      <c r="I89" s="517">
        <v>21100000</v>
      </c>
      <c r="J89" s="334" t="s">
        <v>1407</v>
      </c>
      <c r="K89" s="521" t="s">
        <v>46</v>
      </c>
      <c r="L89" s="306">
        <v>207</v>
      </c>
      <c r="M89" s="306">
        <v>140</v>
      </c>
    </row>
    <row r="90" spans="1:13" s="73" customFormat="1" ht="30.75" customHeight="1" thickTop="1" thickBot="1" x14ac:dyDescent="0.25">
      <c r="A90" s="629" t="s">
        <v>2563</v>
      </c>
      <c r="B90" s="629" t="s">
        <v>2558</v>
      </c>
      <c r="C90" s="688"/>
      <c r="D90" s="521">
        <v>3</v>
      </c>
      <c r="E90" s="521">
        <v>30</v>
      </c>
      <c r="F90" s="521">
        <v>3</v>
      </c>
      <c r="G90" s="521">
        <v>540</v>
      </c>
      <c r="H90" s="517">
        <v>30000000</v>
      </c>
      <c r="I90" s="517">
        <v>0</v>
      </c>
      <c r="J90" s="334" t="s">
        <v>1408</v>
      </c>
      <c r="K90" s="521" t="s">
        <v>1409</v>
      </c>
      <c r="L90" s="306">
        <v>30</v>
      </c>
      <c r="M90" s="306">
        <v>0</v>
      </c>
    </row>
    <row r="91" spans="1:13" s="73" customFormat="1" ht="30.75" customHeight="1" thickTop="1" thickBot="1" x14ac:dyDescent="0.25">
      <c r="A91" s="629" t="s">
        <v>2563</v>
      </c>
      <c r="B91" s="629" t="s">
        <v>2558</v>
      </c>
      <c r="C91" s="688"/>
      <c r="D91" s="521">
        <v>3</v>
      </c>
      <c r="E91" s="521">
        <v>30</v>
      </c>
      <c r="F91" s="521">
        <v>3</v>
      </c>
      <c r="G91" s="521">
        <v>540</v>
      </c>
      <c r="H91" s="517">
        <v>36000000</v>
      </c>
      <c r="I91" s="517">
        <v>0</v>
      </c>
      <c r="J91" s="334" t="s">
        <v>1410</v>
      </c>
      <c r="K91" s="521" t="s">
        <v>66</v>
      </c>
      <c r="L91" s="306">
        <v>30</v>
      </c>
      <c r="M91" s="306">
        <v>0</v>
      </c>
    </row>
    <row r="92" spans="1:13" s="73" customFormat="1" ht="30.75" customHeight="1" thickTop="1" thickBot="1" x14ac:dyDescent="0.25">
      <c r="A92" s="629" t="s">
        <v>2563</v>
      </c>
      <c r="B92" s="629" t="s">
        <v>2558</v>
      </c>
      <c r="C92" s="688"/>
      <c r="D92" s="521">
        <v>3</v>
      </c>
      <c r="E92" s="521">
        <v>30</v>
      </c>
      <c r="F92" s="521">
        <v>3</v>
      </c>
      <c r="G92" s="521">
        <v>540</v>
      </c>
      <c r="H92" s="517">
        <v>18990000</v>
      </c>
      <c r="I92" s="517">
        <v>0</v>
      </c>
      <c r="J92" s="334" t="s">
        <v>1411</v>
      </c>
      <c r="K92" s="521" t="s">
        <v>1412</v>
      </c>
      <c r="L92" s="306">
        <v>30</v>
      </c>
      <c r="M92" s="306">
        <v>0</v>
      </c>
    </row>
    <row r="93" spans="1:13" s="73" customFormat="1" ht="30.75" customHeight="1" thickTop="1" thickBot="1" x14ac:dyDescent="0.25">
      <c r="A93" s="629" t="s">
        <v>2563</v>
      </c>
      <c r="B93" s="629" t="s">
        <v>2558</v>
      </c>
      <c r="C93" s="688"/>
      <c r="D93" s="521">
        <v>3</v>
      </c>
      <c r="E93" s="521">
        <v>30</v>
      </c>
      <c r="F93" s="521">
        <v>3</v>
      </c>
      <c r="G93" s="521">
        <v>540</v>
      </c>
      <c r="H93" s="517">
        <v>33900000</v>
      </c>
      <c r="I93" s="517">
        <v>33900000</v>
      </c>
      <c r="J93" s="334" t="s">
        <v>1413</v>
      </c>
      <c r="K93" s="334" t="s">
        <v>2158</v>
      </c>
      <c r="L93" s="306">
        <v>11</v>
      </c>
      <c r="M93" s="306">
        <v>11</v>
      </c>
    </row>
    <row r="94" spans="1:13" s="106" customFormat="1" ht="15.75" customHeight="1" thickTop="1" thickBot="1" x14ac:dyDescent="0.25">
      <c r="A94" s="195"/>
      <c r="B94" s="64"/>
      <c r="C94" s="64"/>
      <c r="D94" s="196"/>
      <c r="E94" s="196"/>
      <c r="F94" s="196"/>
      <c r="G94" s="196"/>
      <c r="H94" s="197"/>
      <c r="I94" s="165"/>
      <c r="J94" s="196"/>
      <c r="K94" s="196"/>
      <c r="L94" s="197"/>
      <c r="M94" s="197"/>
    </row>
    <row r="95" spans="1:13" s="83" customFormat="1" ht="30" customHeight="1" thickTop="1" thickBot="1" x14ac:dyDescent="0.3">
      <c r="A95" s="639" t="s">
        <v>0</v>
      </c>
      <c r="B95" s="639" t="s">
        <v>1</v>
      </c>
      <c r="C95" s="639" t="s">
        <v>2569</v>
      </c>
      <c r="D95" s="636" t="s">
        <v>1961</v>
      </c>
      <c r="E95" s="637"/>
      <c r="F95" s="637"/>
      <c r="G95" s="638"/>
      <c r="H95" s="636" t="s">
        <v>3</v>
      </c>
      <c r="I95" s="637"/>
      <c r="J95" s="636" t="s">
        <v>1962</v>
      </c>
      <c r="K95" s="637"/>
      <c r="L95" s="637"/>
      <c r="M95" s="637"/>
    </row>
    <row r="96" spans="1:13" s="83" customFormat="1" ht="34.5" customHeight="1" thickTop="1" thickBot="1" x14ac:dyDescent="0.3">
      <c r="A96" s="661"/>
      <c r="B96" s="661"/>
      <c r="C96" s="661"/>
      <c r="D96" s="515" t="s">
        <v>4</v>
      </c>
      <c r="E96" s="515" t="s">
        <v>5</v>
      </c>
      <c r="F96" s="515" t="s">
        <v>6</v>
      </c>
      <c r="G96" s="515" t="s">
        <v>7</v>
      </c>
      <c r="H96" s="515" t="s">
        <v>2</v>
      </c>
      <c r="I96" s="515" t="s">
        <v>3</v>
      </c>
      <c r="J96" s="515" t="s">
        <v>8</v>
      </c>
      <c r="K96" s="515" t="s">
        <v>9</v>
      </c>
      <c r="L96" s="515" t="s">
        <v>1963</v>
      </c>
      <c r="M96" s="513" t="s">
        <v>1964</v>
      </c>
    </row>
    <row r="97" spans="1:13" s="73" customFormat="1" ht="36" customHeight="1" thickTop="1" thickBot="1" x14ac:dyDescent="0.25">
      <c r="A97" s="522" t="s">
        <v>2564</v>
      </c>
      <c r="B97" s="522" t="s">
        <v>2558</v>
      </c>
      <c r="C97" s="522" t="s">
        <v>18</v>
      </c>
      <c r="D97" s="521">
        <v>2</v>
      </c>
      <c r="E97" s="521">
        <v>30</v>
      </c>
      <c r="F97" s="521">
        <v>3</v>
      </c>
      <c r="G97" s="521">
        <v>848</v>
      </c>
      <c r="H97" s="517">
        <v>409326671</v>
      </c>
      <c r="I97" s="517">
        <v>255703800</v>
      </c>
      <c r="J97" s="334" t="s">
        <v>1414</v>
      </c>
      <c r="K97" s="521" t="s">
        <v>20</v>
      </c>
      <c r="L97" s="306">
        <v>2300</v>
      </c>
      <c r="M97" s="306">
        <v>1450</v>
      </c>
    </row>
    <row r="98" spans="1:13" s="73" customFormat="1" ht="51.75" customHeight="1" thickTop="1" thickBot="1" x14ac:dyDescent="0.25">
      <c r="A98" s="629" t="s">
        <v>2564</v>
      </c>
      <c r="B98" s="629" t="s">
        <v>2558</v>
      </c>
      <c r="C98" s="522" t="s">
        <v>53</v>
      </c>
      <c r="D98" s="521">
        <v>2</v>
      </c>
      <c r="E98" s="521">
        <v>30</v>
      </c>
      <c r="F98" s="521">
        <v>3</v>
      </c>
      <c r="G98" s="521">
        <v>520</v>
      </c>
      <c r="H98" s="517">
        <v>813407427</v>
      </c>
      <c r="I98" s="517">
        <v>738363805</v>
      </c>
      <c r="J98" s="334" t="s">
        <v>1415</v>
      </c>
      <c r="K98" s="521" t="s">
        <v>595</v>
      </c>
      <c r="L98" s="306">
        <v>2</v>
      </c>
      <c r="M98" s="306">
        <v>2</v>
      </c>
    </row>
    <row r="99" spans="1:13" s="73" customFormat="1" ht="44.25" customHeight="1" thickTop="1" thickBot="1" x14ac:dyDescent="0.25">
      <c r="A99" s="629" t="s">
        <v>2564</v>
      </c>
      <c r="B99" s="629" t="s">
        <v>2558</v>
      </c>
      <c r="C99" s="522" t="s">
        <v>90</v>
      </c>
      <c r="D99" s="521">
        <v>2</v>
      </c>
      <c r="E99" s="521">
        <v>30</v>
      </c>
      <c r="F99" s="521">
        <v>3</v>
      </c>
      <c r="G99" s="521">
        <v>520</v>
      </c>
      <c r="H99" s="517">
        <v>141688138</v>
      </c>
      <c r="I99" s="517">
        <v>141688138</v>
      </c>
      <c r="J99" s="334" t="s">
        <v>1416</v>
      </c>
      <c r="K99" s="521" t="s">
        <v>11</v>
      </c>
      <c r="L99" s="306">
        <v>1200</v>
      </c>
      <c r="M99" s="306">
        <v>1200</v>
      </c>
    </row>
    <row r="100" spans="1:13" s="106" customFormat="1" ht="20.25" customHeight="1" thickTop="1" thickBot="1" x14ac:dyDescent="0.25">
      <c r="A100" s="195"/>
      <c r="B100" s="195"/>
      <c r="C100" s="64"/>
      <c r="D100" s="196"/>
      <c r="E100" s="196"/>
      <c r="F100" s="196"/>
      <c r="G100" s="196"/>
      <c r="H100" s="197"/>
      <c r="I100" s="197"/>
      <c r="J100" s="196"/>
      <c r="K100" s="196"/>
      <c r="L100" s="197"/>
      <c r="M100" s="197"/>
    </row>
    <row r="101" spans="1:13" s="83" customFormat="1" ht="30" customHeight="1" thickTop="1" thickBot="1" x14ac:dyDescent="0.3">
      <c r="A101" s="639" t="s">
        <v>0</v>
      </c>
      <c r="B101" s="639" t="s">
        <v>1</v>
      </c>
      <c r="C101" s="639" t="s">
        <v>2569</v>
      </c>
      <c r="D101" s="636" t="s">
        <v>1961</v>
      </c>
      <c r="E101" s="637"/>
      <c r="F101" s="637"/>
      <c r="G101" s="638"/>
      <c r="H101" s="636" t="s">
        <v>3</v>
      </c>
      <c r="I101" s="637"/>
      <c r="J101" s="636" t="s">
        <v>1962</v>
      </c>
      <c r="K101" s="637"/>
      <c r="L101" s="637"/>
      <c r="M101" s="637"/>
    </row>
    <row r="102" spans="1:13" s="83" customFormat="1" ht="34.5" customHeight="1" thickTop="1" thickBot="1" x14ac:dyDescent="0.3">
      <c r="A102" s="661"/>
      <c r="B102" s="661"/>
      <c r="C102" s="661"/>
      <c r="D102" s="515" t="s">
        <v>4</v>
      </c>
      <c r="E102" s="515" t="s">
        <v>5</v>
      </c>
      <c r="F102" s="515" t="s">
        <v>6</v>
      </c>
      <c r="G102" s="515" t="s">
        <v>7</v>
      </c>
      <c r="H102" s="515" t="s">
        <v>2</v>
      </c>
      <c r="I102" s="515" t="s">
        <v>3</v>
      </c>
      <c r="J102" s="515" t="s">
        <v>8</v>
      </c>
      <c r="K102" s="515" t="s">
        <v>9</v>
      </c>
      <c r="L102" s="515" t="s">
        <v>1963</v>
      </c>
      <c r="M102" s="513" t="s">
        <v>1964</v>
      </c>
    </row>
    <row r="103" spans="1:13" s="73" customFormat="1" ht="51.75" customHeight="1" thickTop="1" thickBot="1" x14ac:dyDescent="0.25">
      <c r="A103" s="522" t="s">
        <v>1461</v>
      </c>
      <c r="B103" s="522" t="s">
        <v>2558</v>
      </c>
      <c r="C103" s="522" t="s">
        <v>18</v>
      </c>
      <c r="D103" s="521">
        <v>3</v>
      </c>
      <c r="E103" s="521">
        <v>30</v>
      </c>
      <c r="F103" s="521">
        <v>3</v>
      </c>
      <c r="G103" s="521">
        <v>848</v>
      </c>
      <c r="H103" s="517">
        <v>390600000</v>
      </c>
      <c r="I103" s="517">
        <v>16800000</v>
      </c>
      <c r="J103" s="334" t="s">
        <v>1417</v>
      </c>
      <c r="K103" s="521" t="s">
        <v>20</v>
      </c>
      <c r="L103" s="306">
        <v>278</v>
      </c>
      <c r="M103" s="215">
        <v>278</v>
      </c>
    </row>
    <row r="104" spans="1:13" s="73" customFormat="1" ht="61.5" customHeight="1" thickTop="1" thickBot="1" x14ac:dyDescent="0.25">
      <c r="A104" s="522" t="s">
        <v>1461</v>
      </c>
      <c r="B104" s="629" t="s">
        <v>2558</v>
      </c>
      <c r="C104" s="522" t="s">
        <v>18</v>
      </c>
      <c r="D104" s="521">
        <v>3</v>
      </c>
      <c r="E104" s="521">
        <v>30</v>
      </c>
      <c r="F104" s="521">
        <v>3</v>
      </c>
      <c r="G104" s="521">
        <v>848</v>
      </c>
      <c r="H104" s="517">
        <v>167400000</v>
      </c>
      <c r="I104" s="517">
        <v>13500000</v>
      </c>
      <c r="J104" s="334" t="s">
        <v>1418</v>
      </c>
      <c r="K104" s="521" t="s">
        <v>20</v>
      </c>
      <c r="L104" s="306">
        <v>68</v>
      </c>
      <c r="M104" s="215">
        <v>68</v>
      </c>
    </row>
    <row r="105" spans="1:13" s="73" customFormat="1" ht="52.5" customHeight="1" thickTop="1" thickBot="1" x14ac:dyDescent="0.25">
      <c r="A105" s="522" t="s">
        <v>1461</v>
      </c>
      <c r="B105" s="629" t="s">
        <v>2558</v>
      </c>
      <c r="C105" s="522" t="s">
        <v>53</v>
      </c>
      <c r="D105" s="521">
        <v>3</v>
      </c>
      <c r="E105" s="521">
        <v>30</v>
      </c>
      <c r="F105" s="521">
        <v>3</v>
      </c>
      <c r="G105" s="521">
        <v>520</v>
      </c>
      <c r="H105" s="517">
        <v>0</v>
      </c>
      <c r="I105" s="517">
        <v>0</v>
      </c>
      <c r="J105" s="334" t="s">
        <v>1419</v>
      </c>
      <c r="K105" s="521" t="s">
        <v>55</v>
      </c>
      <c r="L105" s="306">
        <v>1</v>
      </c>
      <c r="M105" s="215">
        <v>0</v>
      </c>
    </row>
    <row r="106" spans="1:13" s="73" customFormat="1" ht="52.5" customHeight="1" thickTop="1" thickBot="1" x14ac:dyDescent="0.25">
      <c r="A106" s="522" t="s">
        <v>1461</v>
      </c>
      <c r="B106" s="629" t="s">
        <v>2558</v>
      </c>
      <c r="C106" s="522" t="s">
        <v>53</v>
      </c>
      <c r="D106" s="521">
        <v>3</v>
      </c>
      <c r="E106" s="521">
        <v>30</v>
      </c>
      <c r="F106" s="521">
        <v>3</v>
      </c>
      <c r="G106" s="521">
        <v>520</v>
      </c>
      <c r="H106" s="517">
        <v>100000000</v>
      </c>
      <c r="I106" s="517">
        <v>79226000</v>
      </c>
      <c r="J106" s="334" t="s">
        <v>1420</v>
      </c>
      <c r="K106" s="521" t="s">
        <v>13</v>
      </c>
      <c r="L106" s="306">
        <v>1</v>
      </c>
      <c r="M106" s="215">
        <v>1</v>
      </c>
    </row>
    <row r="107" spans="1:13" s="73" customFormat="1" ht="63" customHeight="1" thickTop="1" thickBot="1" x14ac:dyDescent="0.25">
      <c r="A107" s="522" t="s">
        <v>1461</v>
      </c>
      <c r="B107" s="629" t="s">
        <v>2558</v>
      </c>
      <c r="C107" s="522" t="s">
        <v>53</v>
      </c>
      <c r="D107" s="521">
        <v>3</v>
      </c>
      <c r="E107" s="521">
        <v>30</v>
      </c>
      <c r="F107" s="521">
        <v>3</v>
      </c>
      <c r="G107" s="521">
        <v>520</v>
      </c>
      <c r="H107" s="517">
        <v>271031073</v>
      </c>
      <c r="I107" s="517">
        <v>0</v>
      </c>
      <c r="J107" s="334" t="s">
        <v>1421</v>
      </c>
      <c r="K107" s="521" t="s">
        <v>55</v>
      </c>
      <c r="L107" s="306">
        <v>3</v>
      </c>
      <c r="M107" s="215">
        <v>1</v>
      </c>
    </row>
    <row r="108" spans="1:13" s="73" customFormat="1" ht="63" customHeight="1" thickTop="1" thickBot="1" x14ac:dyDescent="0.25">
      <c r="A108" s="522" t="s">
        <v>1461</v>
      </c>
      <c r="B108" s="629" t="s">
        <v>2558</v>
      </c>
      <c r="C108" s="522" t="s">
        <v>53</v>
      </c>
      <c r="D108" s="521">
        <v>3</v>
      </c>
      <c r="E108" s="521">
        <v>30</v>
      </c>
      <c r="F108" s="521">
        <v>3</v>
      </c>
      <c r="G108" s="521">
        <v>520</v>
      </c>
      <c r="H108" s="517">
        <v>60930790</v>
      </c>
      <c r="I108" s="517">
        <v>60930790</v>
      </c>
      <c r="J108" s="334" t="s">
        <v>1422</v>
      </c>
      <c r="K108" s="521" t="s">
        <v>25</v>
      </c>
      <c r="L108" s="306">
        <v>1</v>
      </c>
      <c r="M108" s="215">
        <v>1</v>
      </c>
    </row>
    <row r="109" spans="1:13" s="73" customFormat="1" ht="64.5" customHeight="1" thickTop="1" thickBot="1" x14ac:dyDescent="0.25">
      <c r="A109" s="522" t="s">
        <v>1461</v>
      </c>
      <c r="B109" s="629" t="s">
        <v>2558</v>
      </c>
      <c r="C109" s="522" t="s">
        <v>53</v>
      </c>
      <c r="D109" s="521">
        <v>5</v>
      </c>
      <c r="E109" s="521">
        <v>30</v>
      </c>
      <c r="F109" s="521">
        <v>3</v>
      </c>
      <c r="G109" s="521">
        <v>520</v>
      </c>
      <c r="H109" s="517">
        <v>30000000</v>
      </c>
      <c r="I109" s="517">
        <v>0</v>
      </c>
      <c r="J109" s="334" t="s">
        <v>1423</v>
      </c>
      <c r="K109" s="521" t="s">
        <v>25</v>
      </c>
      <c r="L109" s="306">
        <v>1</v>
      </c>
      <c r="M109" s="215">
        <v>0</v>
      </c>
    </row>
    <row r="110" spans="1:13" s="73" customFormat="1" ht="63.75" customHeight="1" thickTop="1" thickBot="1" x14ac:dyDescent="0.25">
      <c r="A110" s="522" t="s">
        <v>1461</v>
      </c>
      <c r="B110" s="629" t="s">
        <v>2558</v>
      </c>
      <c r="C110" s="522" t="s">
        <v>53</v>
      </c>
      <c r="D110" s="521">
        <v>3</v>
      </c>
      <c r="E110" s="521">
        <v>30</v>
      </c>
      <c r="F110" s="521">
        <v>3</v>
      </c>
      <c r="G110" s="521">
        <v>520</v>
      </c>
      <c r="H110" s="517">
        <v>155393000</v>
      </c>
      <c r="I110" s="517">
        <v>155000000</v>
      </c>
      <c r="J110" s="334" t="s">
        <v>1424</v>
      </c>
      <c r="K110" s="521" t="s">
        <v>410</v>
      </c>
      <c r="L110" s="306">
        <v>1</v>
      </c>
      <c r="M110" s="215">
        <v>1</v>
      </c>
    </row>
    <row r="111" spans="1:13" s="73" customFormat="1" ht="68.25" customHeight="1" thickTop="1" thickBot="1" x14ac:dyDescent="0.25">
      <c r="A111" s="522" t="s">
        <v>1461</v>
      </c>
      <c r="B111" s="629" t="s">
        <v>2558</v>
      </c>
      <c r="C111" s="522" t="s">
        <v>53</v>
      </c>
      <c r="D111" s="521">
        <v>3</v>
      </c>
      <c r="E111" s="521">
        <v>30</v>
      </c>
      <c r="F111" s="521">
        <v>3</v>
      </c>
      <c r="G111" s="521">
        <v>520</v>
      </c>
      <c r="H111" s="517">
        <v>65325000</v>
      </c>
      <c r="I111" s="517">
        <v>65325000</v>
      </c>
      <c r="J111" s="334" t="s">
        <v>1425</v>
      </c>
      <c r="K111" s="521" t="s">
        <v>158</v>
      </c>
      <c r="L111" s="306">
        <v>300</v>
      </c>
      <c r="M111" s="215">
        <v>300</v>
      </c>
    </row>
    <row r="112" spans="1:13" s="73" customFormat="1" ht="51" customHeight="1" thickTop="1" thickBot="1" x14ac:dyDescent="0.25">
      <c r="A112" s="522" t="s">
        <v>1461</v>
      </c>
      <c r="B112" s="629" t="s">
        <v>2558</v>
      </c>
      <c r="C112" s="522" t="s">
        <v>53</v>
      </c>
      <c r="D112" s="521">
        <v>3</v>
      </c>
      <c r="E112" s="521">
        <v>30</v>
      </c>
      <c r="F112" s="521">
        <v>3</v>
      </c>
      <c r="G112" s="521">
        <v>520</v>
      </c>
      <c r="H112" s="517">
        <v>231652097</v>
      </c>
      <c r="I112" s="517">
        <v>0</v>
      </c>
      <c r="J112" s="334" t="s">
        <v>1426</v>
      </c>
      <c r="K112" s="521" t="s">
        <v>13</v>
      </c>
      <c r="L112" s="306">
        <v>1</v>
      </c>
      <c r="M112" s="215">
        <v>0</v>
      </c>
    </row>
    <row r="113" spans="1:13" s="73" customFormat="1" ht="66" customHeight="1" thickTop="1" thickBot="1" x14ac:dyDescent="0.25">
      <c r="A113" s="522" t="s">
        <v>1461</v>
      </c>
      <c r="B113" s="629" t="s">
        <v>2558</v>
      </c>
      <c r="C113" s="522" t="s">
        <v>53</v>
      </c>
      <c r="D113" s="521">
        <v>3</v>
      </c>
      <c r="E113" s="521">
        <v>30</v>
      </c>
      <c r="F113" s="521">
        <v>3</v>
      </c>
      <c r="G113" s="521">
        <v>520</v>
      </c>
      <c r="H113" s="517">
        <v>53240000</v>
      </c>
      <c r="I113" s="517">
        <v>49702200</v>
      </c>
      <c r="J113" s="334" t="s">
        <v>1427</v>
      </c>
      <c r="K113" s="521" t="s">
        <v>103</v>
      </c>
      <c r="L113" s="306">
        <v>2</v>
      </c>
      <c r="M113" s="215">
        <v>2</v>
      </c>
    </row>
    <row r="114" spans="1:13" s="73" customFormat="1" ht="66" customHeight="1" thickTop="1" thickBot="1" x14ac:dyDescent="0.25">
      <c r="A114" s="522" t="s">
        <v>1461</v>
      </c>
      <c r="B114" s="629" t="s">
        <v>2558</v>
      </c>
      <c r="C114" s="522" t="s">
        <v>53</v>
      </c>
      <c r="D114" s="521">
        <v>3</v>
      </c>
      <c r="E114" s="521">
        <v>30</v>
      </c>
      <c r="F114" s="521">
        <v>3</v>
      </c>
      <c r="G114" s="521">
        <v>520</v>
      </c>
      <c r="H114" s="517">
        <v>119367870</v>
      </c>
      <c r="I114" s="517">
        <v>118189870</v>
      </c>
      <c r="J114" s="334" t="s">
        <v>1428</v>
      </c>
      <c r="K114" s="521" t="s">
        <v>55</v>
      </c>
      <c r="L114" s="306">
        <v>1</v>
      </c>
      <c r="M114" s="215">
        <v>1</v>
      </c>
    </row>
    <row r="115" spans="1:13" s="73" customFormat="1" ht="53.25" customHeight="1" thickTop="1" thickBot="1" x14ac:dyDescent="0.25">
      <c r="A115" s="522" t="s">
        <v>1461</v>
      </c>
      <c r="B115" s="629" t="s">
        <v>2558</v>
      </c>
      <c r="C115" s="522" t="s">
        <v>53</v>
      </c>
      <c r="D115" s="521">
        <v>3</v>
      </c>
      <c r="E115" s="521">
        <v>30</v>
      </c>
      <c r="F115" s="521">
        <v>3</v>
      </c>
      <c r="G115" s="521">
        <v>520</v>
      </c>
      <c r="H115" s="517">
        <v>38800000</v>
      </c>
      <c r="I115" s="517">
        <v>37575000</v>
      </c>
      <c r="J115" s="334" t="s">
        <v>1429</v>
      </c>
      <c r="K115" s="521" t="s">
        <v>13</v>
      </c>
      <c r="L115" s="306">
        <v>1</v>
      </c>
      <c r="M115" s="215">
        <v>1</v>
      </c>
    </row>
    <row r="116" spans="1:13" s="73" customFormat="1" ht="55.5" customHeight="1" thickTop="1" thickBot="1" x14ac:dyDescent="0.25">
      <c r="A116" s="522" t="s">
        <v>1461</v>
      </c>
      <c r="B116" s="629" t="s">
        <v>2558</v>
      </c>
      <c r="C116" s="522" t="s">
        <v>1074</v>
      </c>
      <c r="D116" s="521">
        <v>3</v>
      </c>
      <c r="E116" s="521">
        <v>30</v>
      </c>
      <c r="F116" s="521">
        <v>3</v>
      </c>
      <c r="G116" s="521">
        <v>540</v>
      </c>
      <c r="H116" s="517">
        <v>50000000</v>
      </c>
      <c r="I116" s="517">
        <v>0</v>
      </c>
      <c r="J116" s="334" t="s">
        <v>1430</v>
      </c>
      <c r="K116" s="521" t="s">
        <v>17</v>
      </c>
      <c r="L116" s="306">
        <v>92</v>
      </c>
      <c r="M116" s="215">
        <v>0</v>
      </c>
    </row>
    <row r="117" spans="1:13" s="73" customFormat="1" ht="44.25" customHeight="1" thickTop="1" thickBot="1" x14ac:dyDescent="0.25">
      <c r="A117" s="522" t="s">
        <v>1461</v>
      </c>
      <c r="B117" s="629" t="s">
        <v>2558</v>
      </c>
      <c r="C117" s="649" t="s">
        <v>53</v>
      </c>
      <c r="D117" s="521">
        <v>3</v>
      </c>
      <c r="E117" s="521">
        <v>30</v>
      </c>
      <c r="F117" s="521">
        <v>3</v>
      </c>
      <c r="G117" s="521">
        <v>590</v>
      </c>
      <c r="H117" s="517">
        <v>300000000</v>
      </c>
      <c r="I117" s="517">
        <v>0</v>
      </c>
      <c r="J117" s="334" t="s">
        <v>1431</v>
      </c>
      <c r="K117" s="521" t="s">
        <v>55</v>
      </c>
      <c r="L117" s="306">
        <v>4</v>
      </c>
      <c r="M117" s="215">
        <v>0</v>
      </c>
    </row>
    <row r="118" spans="1:13" s="73" customFormat="1" ht="54.75" customHeight="1" thickTop="1" thickBot="1" x14ac:dyDescent="0.25">
      <c r="A118" s="522" t="s">
        <v>1461</v>
      </c>
      <c r="B118" s="629" t="s">
        <v>2558</v>
      </c>
      <c r="C118" s="650"/>
      <c r="D118" s="521">
        <v>3</v>
      </c>
      <c r="E118" s="521">
        <v>30</v>
      </c>
      <c r="F118" s="521">
        <v>3</v>
      </c>
      <c r="G118" s="521">
        <v>590</v>
      </c>
      <c r="H118" s="517">
        <v>50000000</v>
      </c>
      <c r="I118" s="517">
        <v>0</v>
      </c>
      <c r="J118" s="334" t="s">
        <v>1432</v>
      </c>
      <c r="K118" s="521" t="s">
        <v>55</v>
      </c>
      <c r="L118" s="306">
        <v>1</v>
      </c>
      <c r="M118" s="215">
        <v>0</v>
      </c>
    </row>
    <row r="119" spans="1:13" s="106" customFormat="1" ht="15.75" customHeight="1" thickTop="1" thickBot="1" x14ac:dyDescent="0.25">
      <c r="A119" s="194"/>
      <c r="B119" s="194"/>
      <c r="C119" s="202"/>
      <c r="D119" s="198"/>
      <c r="E119" s="198"/>
      <c r="F119" s="198"/>
      <c r="G119" s="198"/>
      <c r="H119" s="174"/>
      <c r="I119" s="203"/>
      <c r="J119" s="198"/>
      <c r="K119" s="198"/>
      <c r="L119" s="203"/>
      <c r="M119" s="203"/>
    </row>
    <row r="120" spans="1:13" s="83" customFormat="1" ht="30" customHeight="1" thickTop="1" thickBot="1" x14ac:dyDescent="0.3">
      <c r="A120" s="639" t="s">
        <v>0</v>
      </c>
      <c r="B120" s="639" t="s">
        <v>1</v>
      </c>
      <c r="C120" s="639" t="s">
        <v>2569</v>
      </c>
      <c r="D120" s="636" t="s">
        <v>1961</v>
      </c>
      <c r="E120" s="637"/>
      <c r="F120" s="637"/>
      <c r="G120" s="638"/>
      <c r="H120" s="636" t="s">
        <v>3</v>
      </c>
      <c r="I120" s="637"/>
      <c r="J120" s="636" t="s">
        <v>1962</v>
      </c>
      <c r="K120" s="637"/>
      <c r="L120" s="637"/>
      <c r="M120" s="637"/>
    </row>
    <row r="121" spans="1:13" s="83" customFormat="1" ht="34.5" customHeight="1" thickTop="1" thickBot="1" x14ac:dyDescent="0.3">
      <c r="A121" s="661"/>
      <c r="B121" s="661"/>
      <c r="C121" s="661"/>
      <c r="D121" s="515" t="s">
        <v>4</v>
      </c>
      <c r="E121" s="515" t="s">
        <v>5</v>
      </c>
      <c r="F121" s="515" t="s">
        <v>6</v>
      </c>
      <c r="G121" s="515" t="s">
        <v>7</v>
      </c>
      <c r="H121" s="515" t="s">
        <v>2</v>
      </c>
      <c r="I121" s="515" t="s">
        <v>3</v>
      </c>
      <c r="J121" s="515" t="s">
        <v>8</v>
      </c>
      <c r="K121" s="515" t="s">
        <v>9</v>
      </c>
      <c r="L121" s="515" t="s">
        <v>1963</v>
      </c>
      <c r="M121" s="513" t="s">
        <v>1964</v>
      </c>
    </row>
    <row r="122" spans="1:13" s="73" customFormat="1" ht="50.25" customHeight="1" thickTop="1" thickBot="1" x14ac:dyDescent="0.25">
      <c r="A122" s="522" t="s">
        <v>2565</v>
      </c>
      <c r="B122" s="522" t="s">
        <v>2558</v>
      </c>
      <c r="C122" s="649" t="s">
        <v>18</v>
      </c>
      <c r="D122" s="521">
        <v>2</v>
      </c>
      <c r="E122" s="521">
        <v>30</v>
      </c>
      <c r="F122" s="521">
        <v>3</v>
      </c>
      <c r="G122" s="521">
        <v>848</v>
      </c>
      <c r="H122" s="517">
        <v>284652620</v>
      </c>
      <c r="I122" s="517">
        <v>198550950</v>
      </c>
      <c r="J122" s="334" t="s">
        <v>1433</v>
      </c>
      <c r="K122" s="521" t="s">
        <v>20</v>
      </c>
      <c r="L122" s="306">
        <v>1200</v>
      </c>
      <c r="M122" s="215">
        <v>840</v>
      </c>
    </row>
    <row r="123" spans="1:13" s="73" customFormat="1" ht="32.25" customHeight="1" thickTop="1" thickBot="1" x14ac:dyDescent="0.25">
      <c r="A123" s="629" t="s">
        <v>2565</v>
      </c>
      <c r="B123" s="629" t="s">
        <v>2558</v>
      </c>
      <c r="C123" s="650"/>
      <c r="D123" s="521">
        <v>2</v>
      </c>
      <c r="E123" s="521">
        <v>30</v>
      </c>
      <c r="F123" s="521">
        <v>3</v>
      </c>
      <c r="G123" s="521">
        <v>960</v>
      </c>
      <c r="H123" s="517">
        <v>55088870</v>
      </c>
      <c r="I123" s="517">
        <v>55088870</v>
      </c>
      <c r="J123" s="334" t="s">
        <v>1434</v>
      </c>
      <c r="K123" s="521" t="s">
        <v>16</v>
      </c>
      <c r="L123" s="306">
        <v>2</v>
      </c>
      <c r="M123" s="215">
        <v>2</v>
      </c>
    </row>
    <row r="124" spans="1:13" s="73" customFormat="1" ht="50.25" customHeight="1" thickTop="1" thickBot="1" x14ac:dyDescent="0.25">
      <c r="A124" s="629" t="s">
        <v>2565</v>
      </c>
      <c r="B124" s="629" t="s">
        <v>2558</v>
      </c>
      <c r="C124" s="522" t="s">
        <v>53</v>
      </c>
      <c r="D124" s="521">
        <v>3</v>
      </c>
      <c r="E124" s="521">
        <v>30</v>
      </c>
      <c r="F124" s="521">
        <v>3</v>
      </c>
      <c r="G124" s="521">
        <v>520</v>
      </c>
      <c r="H124" s="517">
        <v>589922644</v>
      </c>
      <c r="I124" s="517">
        <v>491850000</v>
      </c>
      <c r="J124" s="334" t="s">
        <v>1435</v>
      </c>
      <c r="K124" s="521" t="s">
        <v>55</v>
      </c>
      <c r="L124" s="306">
        <v>4</v>
      </c>
      <c r="M124" s="215">
        <v>4</v>
      </c>
    </row>
    <row r="125" spans="1:13" s="73" customFormat="1" ht="50.25" customHeight="1" thickTop="1" thickBot="1" x14ac:dyDescent="0.25">
      <c r="A125" s="629" t="s">
        <v>2565</v>
      </c>
      <c r="B125" s="629" t="s">
        <v>2558</v>
      </c>
      <c r="C125" s="522" t="s">
        <v>105</v>
      </c>
      <c r="D125" s="521">
        <v>3</v>
      </c>
      <c r="E125" s="521">
        <v>30</v>
      </c>
      <c r="F125" s="521">
        <v>3</v>
      </c>
      <c r="G125" s="521">
        <v>540</v>
      </c>
      <c r="H125" s="517">
        <v>87807500</v>
      </c>
      <c r="I125" s="517">
        <v>0</v>
      </c>
      <c r="J125" s="334" t="s">
        <v>1436</v>
      </c>
      <c r="K125" s="259" t="s">
        <v>383</v>
      </c>
      <c r="L125" s="306">
        <v>30</v>
      </c>
      <c r="M125" s="215">
        <v>0</v>
      </c>
    </row>
    <row r="126" spans="1:13" s="73" customFormat="1" ht="48" customHeight="1" thickTop="1" thickBot="1" x14ac:dyDescent="0.25">
      <c r="A126" s="629" t="s">
        <v>2565</v>
      </c>
      <c r="B126" s="629" t="s">
        <v>2558</v>
      </c>
      <c r="C126" s="522" t="s">
        <v>53</v>
      </c>
      <c r="D126" s="521">
        <v>3</v>
      </c>
      <c r="E126" s="521">
        <v>30</v>
      </c>
      <c r="F126" s="521">
        <v>3</v>
      </c>
      <c r="G126" s="521">
        <v>980</v>
      </c>
      <c r="H126" s="517">
        <v>115000000</v>
      </c>
      <c r="I126" s="517">
        <v>115000000</v>
      </c>
      <c r="J126" s="334" t="s">
        <v>1437</v>
      </c>
      <c r="K126" s="521" t="s">
        <v>16</v>
      </c>
      <c r="L126" s="306">
        <v>6</v>
      </c>
      <c r="M126" s="215">
        <v>6</v>
      </c>
    </row>
    <row r="127" spans="1:13" s="106" customFormat="1" ht="13.5" customHeight="1" thickTop="1" thickBot="1" x14ac:dyDescent="0.25">
      <c r="A127" s="194"/>
      <c r="B127" s="194"/>
      <c r="C127" s="202"/>
      <c r="D127" s="198"/>
      <c r="E127" s="198"/>
      <c r="F127" s="198"/>
      <c r="G127" s="198"/>
      <c r="H127" s="174"/>
      <c r="I127" s="203"/>
      <c r="J127" s="198"/>
      <c r="K127" s="198"/>
      <c r="L127" s="203"/>
      <c r="M127" s="203"/>
    </row>
    <row r="128" spans="1:13" s="83" customFormat="1" ht="30" customHeight="1" thickTop="1" thickBot="1" x14ac:dyDescent="0.3">
      <c r="A128" s="639" t="s">
        <v>0</v>
      </c>
      <c r="B128" s="639" t="s">
        <v>1</v>
      </c>
      <c r="C128" s="639" t="s">
        <v>2569</v>
      </c>
      <c r="D128" s="636" t="s">
        <v>1961</v>
      </c>
      <c r="E128" s="637"/>
      <c r="F128" s="637"/>
      <c r="G128" s="638"/>
      <c r="H128" s="636" t="s">
        <v>3</v>
      </c>
      <c r="I128" s="637"/>
      <c r="J128" s="636" t="s">
        <v>1962</v>
      </c>
      <c r="K128" s="637"/>
      <c r="L128" s="637"/>
      <c r="M128" s="637"/>
    </row>
    <row r="129" spans="1:13" s="83" customFormat="1" ht="34.5" customHeight="1" thickTop="1" thickBot="1" x14ac:dyDescent="0.3">
      <c r="A129" s="661"/>
      <c r="B129" s="661"/>
      <c r="C129" s="661"/>
      <c r="D129" s="515" t="s">
        <v>4</v>
      </c>
      <c r="E129" s="515" t="s">
        <v>5</v>
      </c>
      <c r="F129" s="515" t="s">
        <v>6</v>
      </c>
      <c r="G129" s="515" t="s">
        <v>7</v>
      </c>
      <c r="H129" s="515" t="s">
        <v>2</v>
      </c>
      <c r="I129" s="515" t="s">
        <v>3</v>
      </c>
      <c r="J129" s="515" t="s">
        <v>8</v>
      </c>
      <c r="K129" s="515" t="s">
        <v>9</v>
      </c>
      <c r="L129" s="515" t="s">
        <v>1963</v>
      </c>
      <c r="M129" s="513" t="s">
        <v>1964</v>
      </c>
    </row>
    <row r="130" spans="1:13" s="73" customFormat="1" ht="53.25" customHeight="1" thickTop="1" thickBot="1" x14ac:dyDescent="0.25">
      <c r="A130" s="522" t="s">
        <v>2566</v>
      </c>
      <c r="B130" s="522" t="s">
        <v>2558</v>
      </c>
      <c r="C130" s="522" t="s">
        <v>18</v>
      </c>
      <c r="D130" s="521">
        <v>3</v>
      </c>
      <c r="E130" s="521">
        <v>30</v>
      </c>
      <c r="F130" s="521">
        <v>3</v>
      </c>
      <c r="G130" s="521">
        <v>848</v>
      </c>
      <c r="H130" s="517">
        <v>455154937</v>
      </c>
      <c r="I130" s="517">
        <v>445260000</v>
      </c>
      <c r="J130" s="334" t="s">
        <v>1438</v>
      </c>
      <c r="K130" s="521" t="s">
        <v>20</v>
      </c>
      <c r="L130" s="306">
        <v>550</v>
      </c>
      <c r="M130" s="215">
        <v>550</v>
      </c>
    </row>
    <row r="131" spans="1:13" s="73" customFormat="1" ht="36.75" customHeight="1" thickTop="1" thickBot="1" x14ac:dyDescent="0.25">
      <c r="A131" s="629" t="s">
        <v>2566</v>
      </c>
      <c r="B131" s="629" t="s">
        <v>2558</v>
      </c>
      <c r="C131" s="688" t="s">
        <v>53</v>
      </c>
      <c r="D131" s="521">
        <v>3</v>
      </c>
      <c r="E131" s="521">
        <v>30</v>
      </c>
      <c r="F131" s="521">
        <v>3</v>
      </c>
      <c r="G131" s="521">
        <v>520</v>
      </c>
      <c r="H131" s="517">
        <v>160000000</v>
      </c>
      <c r="I131" s="517">
        <v>0</v>
      </c>
      <c r="J131" s="334" t="s">
        <v>1439</v>
      </c>
      <c r="K131" s="521" t="s">
        <v>55</v>
      </c>
      <c r="L131" s="306">
        <v>2</v>
      </c>
      <c r="M131" s="306">
        <v>0</v>
      </c>
    </row>
    <row r="132" spans="1:13" s="73" customFormat="1" ht="36.75" customHeight="1" thickTop="1" thickBot="1" x14ac:dyDescent="0.25">
      <c r="A132" s="629" t="s">
        <v>2566</v>
      </c>
      <c r="B132" s="629" t="s">
        <v>2558</v>
      </c>
      <c r="C132" s="688"/>
      <c r="D132" s="521">
        <v>3</v>
      </c>
      <c r="E132" s="521">
        <v>30</v>
      </c>
      <c r="F132" s="521">
        <v>3</v>
      </c>
      <c r="G132" s="521">
        <v>520</v>
      </c>
      <c r="H132" s="517">
        <v>35000000</v>
      </c>
      <c r="I132" s="517">
        <v>0</v>
      </c>
      <c r="J132" s="334" t="s">
        <v>1440</v>
      </c>
      <c r="K132" s="521" t="s">
        <v>25</v>
      </c>
      <c r="L132" s="306">
        <v>2</v>
      </c>
      <c r="M132" s="306">
        <v>0</v>
      </c>
    </row>
    <row r="133" spans="1:13" s="73" customFormat="1" ht="33.75" customHeight="1" thickTop="1" thickBot="1" x14ac:dyDescent="0.25">
      <c r="A133" s="629" t="s">
        <v>2566</v>
      </c>
      <c r="B133" s="629" t="s">
        <v>2558</v>
      </c>
      <c r="C133" s="688"/>
      <c r="D133" s="521">
        <v>3</v>
      </c>
      <c r="E133" s="521">
        <v>30</v>
      </c>
      <c r="F133" s="521">
        <v>3</v>
      </c>
      <c r="G133" s="521">
        <v>520</v>
      </c>
      <c r="H133" s="517">
        <v>42000000</v>
      </c>
      <c r="I133" s="517">
        <v>0</v>
      </c>
      <c r="J133" s="334" t="s">
        <v>1441</v>
      </c>
      <c r="K133" s="521" t="s">
        <v>25</v>
      </c>
      <c r="L133" s="306">
        <v>1</v>
      </c>
      <c r="M133" s="306">
        <v>0</v>
      </c>
    </row>
    <row r="134" spans="1:13" s="73" customFormat="1" ht="41.25" customHeight="1" thickTop="1" thickBot="1" x14ac:dyDescent="0.25">
      <c r="A134" s="629" t="s">
        <v>2566</v>
      </c>
      <c r="B134" s="629" t="s">
        <v>2558</v>
      </c>
      <c r="C134" s="688"/>
      <c r="D134" s="521">
        <v>3</v>
      </c>
      <c r="E134" s="521">
        <v>30</v>
      </c>
      <c r="F134" s="521">
        <v>3</v>
      </c>
      <c r="G134" s="521">
        <v>520</v>
      </c>
      <c r="H134" s="517">
        <v>96014463</v>
      </c>
      <c r="I134" s="517">
        <v>0</v>
      </c>
      <c r="J134" s="334" t="s">
        <v>2157</v>
      </c>
      <c r="K134" s="521" t="s">
        <v>410</v>
      </c>
      <c r="L134" s="306">
        <v>1</v>
      </c>
      <c r="M134" s="306">
        <v>0</v>
      </c>
    </row>
    <row r="135" spans="1:13" s="73" customFormat="1" ht="36.75" customHeight="1" thickTop="1" thickBot="1" x14ac:dyDescent="0.25">
      <c r="A135" s="629" t="s">
        <v>2566</v>
      </c>
      <c r="B135" s="629" t="s">
        <v>2558</v>
      </c>
      <c r="C135" s="688"/>
      <c r="D135" s="521">
        <v>3</v>
      </c>
      <c r="E135" s="521">
        <v>30</v>
      </c>
      <c r="F135" s="521">
        <v>3</v>
      </c>
      <c r="G135" s="521">
        <v>520</v>
      </c>
      <c r="H135" s="517">
        <v>188794694</v>
      </c>
      <c r="I135" s="517">
        <v>0</v>
      </c>
      <c r="J135" s="334" t="s">
        <v>1442</v>
      </c>
      <c r="K135" s="521" t="s">
        <v>55</v>
      </c>
      <c r="L135" s="306">
        <v>2</v>
      </c>
      <c r="M135" s="306">
        <v>0</v>
      </c>
    </row>
    <row r="136" spans="1:13" s="73" customFormat="1" ht="36.75" customHeight="1" thickTop="1" thickBot="1" x14ac:dyDescent="0.25">
      <c r="A136" s="629" t="s">
        <v>2566</v>
      </c>
      <c r="B136" s="629" t="s">
        <v>2558</v>
      </c>
      <c r="C136" s="688"/>
      <c r="D136" s="521">
        <v>3</v>
      </c>
      <c r="E136" s="521">
        <v>30</v>
      </c>
      <c r="F136" s="521">
        <v>3</v>
      </c>
      <c r="G136" s="521">
        <v>520</v>
      </c>
      <c r="H136" s="517">
        <v>80000000</v>
      </c>
      <c r="I136" s="517">
        <v>0</v>
      </c>
      <c r="J136" s="334" t="s">
        <v>1443</v>
      </c>
      <c r="K136" s="521" t="s">
        <v>55</v>
      </c>
      <c r="L136" s="306">
        <v>1</v>
      </c>
      <c r="M136" s="306">
        <v>0</v>
      </c>
    </row>
    <row r="137" spans="1:13" s="73" customFormat="1" ht="39" customHeight="1" thickTop="1" thickBot="1" x14ac:dyDescent="0.25">
      <c r="A137" s="629" t="s">
        <v>2566</v>
      </c>
      <c r="B137" s="629" t="s">
        <v>2558</v>
      </c>
      <c r="C137" s="688"/>
      <c r="D137" s="521">
        <v>3</v>
      </c>
      <c r="E137" s="521">
        <v>30</v>
      </c>
      <c r="F137" s="521">
        <v>3</v>
      </c>
      <c r="G137" s="521">
        <v>520</v>
      </c>
      <c r="H137" s="517">
        <v>46000000</v>
      </c>
      <c r="I137" s="517">
        <v>0</v>
      </c>
      <c r="J137" s="334" t="s">
        <v>1444</v>
      </c>
      <c r="K137" s="521" t="s">
        <v>55</v>
      </c>
      <c r="L137" s="306">
        <v>1</v>
      </c>
      <c r="M137" s="306">
        <v>0</v>
      </c>
    </row>
    <row r="138" spans="1:13" s="73" customFormat="1" ht="39" customHeight="1" thickTop="1" thickBot="1" x14ac:dyDescent="0.25">
      <c r="A138" s="629" t="s">
        <v>2566</v>
      </c>
      <c r="B138" s="629" t="s">
        <v>2558</v>
      </c>
      <c r="C138" s="688"/>
      <c r="D138" s="521">
        <v>3</v>
      </c>
      <c r="E138" s="521">
        <v>30</v>
      </c>
      <c r="F138" s="521">
        <v>3</v>
      </c>
      <c r="G138" s="521">
        <v>520</v>
      </c>
      <c r="H138" s="517">
        <v>40517237</v>
      </c>
      <c r="I138" s="517">
        <v>0</v>
      </c>
      <c r="J138" s="334" t="s">
        <v>1445</v>
      </c>
      <c r="K138" s="521" t="s">
        <v>55</v>
      </c>
      <c r="L138" s="306">
        <v>1</v>
      </c>
      <c r="M138" s="306">
        <v>0</v>
      </c>
    </row>
    <row r="139" spans="1:13" s="73" customFormat="1" ht="43.5" customHeight="1" thickTop="1" thickBot="1" x14ac:dyDescent="0.25">
      <c r="A139" s="629" t="s">
        <v>2566</v>
      </c>
      <c r="B139" s="629" t="s">
        <v>2558</v>
      </c>
      <c r="C139" s="688"/>
      <c r="D139" s="521">
        <v>3</v>
      </c>
      <c r="E139" s="521">
        <v>30</v>
      </c>
      <c r="F139" s="521">
        <v>3</v>
      </c>
      <c r="G139" s="521">
        <v>520</v>
      </c>
      <c r="H139" s="517">
        <v>36000000</v>
      </c>
      <c r="I139" s="517">
        <v>0</v>
      </c>
      <c r="J139" s="334" t="s">
        <v>1446</v>
      </c>
      <c r="K139" s="521" t="s">
        <v>25</v>
      </c>
      <c r="L139" s="306">
        <v>3</v>
      </c>
      <c r="M139" s="306">
        <v>0</v>
      </c>
    </row>
    <row r="140" spans="1:13" s="73" customFormat="1" ht="43.5" customHeight="1" thickTop="1" thickBot="1" x14ac:dyDescent="0.25">
      <c r="A140" s="629" t="s">
        <v>2566</v>
      </c>
      <c r="B140" s="629" t="s">
        <v>2558</v>
      </c>
      <c r="C140" s="522" t="s">
        <v>105</v>
      </c>
      <c r="D140" s="521">
        <v>3</v>
      </c>
      <c r="E140" s="521">
        <v>30</v>
      </c>
      <c r="F140" s="521">
        <v>3</v>
      </c>
      <c r="G140" s="521">
        <v>540</v>
      </c>
      <c r="H140" s="517">
        <v>69701800</v>
      </c>
      <c r="I140" s="517">
        <v>0</v>
      </c>
      <c r="J140" s="334" t="s">
        <v>1447</v>
      </c>
      <c r="K140" s="521" t="s">
        <v>261</v>
      </c>
      <c r="L140" s="306">
        <v>450</v>
      </c>
      <c r="M140" s="306">
        <v>0</v>
      </c>
    </row>
    <row r="141" spans="1:13" s="73" customFormat="1" ht="47.25" customHeight="1" thickTop="1" thickBot="1" x14ac:dyDescent="0.25">
      <c r="A141" s="629" t="s">
        <v>2566</v>
      </c>
      <c r="B141" s="629" t="s">
        <v>2558</v>
      </c>
      <c r="C141" s="522" t="s">
        <v>53</v>
      </c>
      <c r="D141" s="521">
        <v>3</v>
      </c>
      <c r="E141" s="521">
        <v>30</v>
      </c>
      <c r="F141" s="521">
        <v>3</v>
      </c>
      <c r="G141" s="521">
        <v>980</v>
      </c>
      <c r="H141" s="517">
        <v>268000000</v>
      </c>
      <c r="I141" s="517">
        <v>268000000</v>
      </c>
      <c r="J141" s="334" t="s">
        <v>1448</v>
      </c>
      <c r="K141" s="521" t="s">
        <v>16</v>
      </c>
      <c r="L141" s="306">
        <v>3</v>
      </c>
      <c r="M141" s="306">
        <v>3</v>
      </c>
    </row>
    <row r="142" spans="1:13" ht="15.75" thickTop="1" x14ac:dyDescent="0.25"/>
  </sheetData>
  <mergeCells count="99">
    <mergeCell ref="C30:C32"/>
    <mergeCell ref="C48:C49"/>
    <mergeCell ref="C82:C83"/>
    <mergeCell ref="A95:A96"/>
    <mergeCell ref="A101:A102"/>
    <mergeCell ref="C88:C93"/>
    <mergeCell ref="C84:C86"/>
    <mergeCell ref="B95:B96"/>
    <mergeCell ref="C95:C96"/>
    <mergeCell ref="A52:A53"/>
    <mergeCell ref="A62:A63"/>
    <mergeCell ref="A74:A75"/>
    <mergeCell ref="A80:A81"/>
    <mergeCell ref="C37:C38"/>
    <mergeCell ref="C40:C43"/>
    <mergeCell ref="B80:B81"/>
    <mergeCell ref="A120:A121"/>
    <mergeCell ref="A128:A129"/>
    <mergeCell ref="H5:I5"/>
    <mergeCell ref="J5:M5"/>
    <mergeCell ref="H14:I14"/>
    <mergeCell ref="J14:M14"/>
    <mergeCell ref="H21:I21"/>
    <mergeCell ref="J21:M21"/>
    <mergeCell ref="H34:I34"/>
    <mergeCell ref="J34:M34"/>
    <mergeCell ref="H45:I45"/>
    <mergeCell ref="J45:M45"/>
    <mergeCell ref="H52:I52"/>
    <mergeCell ref="J52:M52"/>
    <mergeCell ref="H62:I62"/>
    <mergeCell ref="J62:M62"/>
    <mergeCell ref="J74:M74"/>
    <mergeCell ref="H80:I80"/>
    <mergeCell ref="J80:M80"/>
    <mergeCell ref="H95:I95"/>
    <mergeCell ref="J95:M95"/>
    <mergeCell ref="A5:A6"/>
    <mergeCell ref="A14:A15"/>
    <mergeCell ref="A21:A22"/>
    <mergeCell ref="A34:A35"/>
    <mergeCell ref="A45:A46"/>
    <mergeCell ref="C80:C81"/>
    <mergeCell ref="C77:C78"/>
    <mergeCell ref="C55:C59"/>
    <mergeCell ref="C65:C70"/>
    <mergeCell ref="H101:I101"/>
    <mergeCell ref="D80:G80"/>
    <mergeCell ref="D82:D83"/>
    <mergeCell ref="E82:E83"/>
    <mergeCell ref="F82:F83"/>
    <mergeCell ref="G82:G83"/>
    <mergeCell ref="D95:G95"/>
    <mergeCell ref="H74:I74"/>
    <mergeCell ref="J101:M101"/>
    <mergeCell ref="H120:I120"/>
    <mergeCell ref="J120:M120"/>
    <mergeCell ref="H128:I128"/>
    <mergeCell ref="J128:M128"/>
    <mergeCell ref="B34:B35"/>
    <mergeCell ref="C34:C35"/>
    <mergeCell ref="D34:G34"/>
    <mergeCell ref="B5:B6"/>
    <mergeCell ref="C5:C6"/>
    <mergeCell ref="B14:B15"/>
    <mergeCell ref="C14:C15"/>
    <mergeCell ref="C8:C11"/>
    <mergeCell ref="D5:G5"/>
    <mergeCell ref="D14:G14"/>
    <mergeCell ref="B21:B22"/>
    <mergeCell ref="C21:C22"/>
    <mergeCell ref="D21:G21"/>
    <mergeCell ref="C16:C17"/>
    <mergeCell ref="C18:C19"/>
    <mergeCell ref="C24:C28"/>
    <mergeCell ref="D52:G52"/>
    <mergeCell ref="B45:B46"/>
    <mergeCell ref="C45:C46"/>
    <mergeCell ref="D45:G45"/>
    <mergeCell ref="B74:B75"/>
    <mergeCell ref="C74:C75"/>
    <mergeCell ref="B62:B63"/>
    <mergeCell ref="C62:C63"/>
    <mergeCell ref="D62:G62"/>
    <mergeCell ref="D74:G74"/>
    <mergeCell ref="B52:B53"/>
    <mergeCell ref="C52:C53"/>
    <mergeCell ref="C131:C139"/>
    <mergeCell ref="C122:C123"/>
    <mergeCell ref="B120:B121"/>
    <mergeCell ref="C120:C121"/>
    <mergeCell ref="D120:G120"/>
    <mergeCell ref="B101:B102"/>
    <mergeCell ref="C101:C102"/>
    <mergeCell ref="D101:G101"/>
    <mergeCell ref="B128:B129"/>
    <mergeCell ref="C128:C129"/>
    <mergeCell ref="D128:G128"/>
    <mergeCell ref="C117:C118"/>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90"/>
  <sheetViews>
    <sheetView showGridLines="0" workbookViewId="0">
      <selection activeCell="C5" sqref="C5:C6"/>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2.42578125" customWidth="1"/>
    <col min="11" max="11" width="12.140625" customWidth="1"/>
    <col min="12" max="13" width="15.140625" customWidth="1"/>
  </cols>
  <sheetData>
    <row r="4" spans="1:13" ht="15.75" thickBot="1" x14ac:dyDescent="0.3"/>
    <row r="5" spans="1:13" ht="30" customHeight="1" thickTop="1" thickBot="1" x14ac:dyDescent="0.3">
      <c r="A5" s="639" t="s">
        <v>0</v>
      </c>
      <c r="B5" s="639" t="s">
        <v>1</v>
      </c>
      <c r="C5" s="639" t="s">
        <v>2569</v>
      </c>
      <c r="D5" s="636" t="s">
        <v>1961</v>
      </c>
      <c r="E5" s="637"/>
      <c r="F5" s="637"/>
      <c r="G5" s="638"/>
      <c r="H5" s="636" t="s">
        <v>3</v>
      </c>
      <c r="I5" s="637"/>
      <c r="J5" s="636" t="s">
        <v>1962</v>
      </c>
      <c r="K5" s="637"/>
      <c r="L5" s="637"/>
      <c r="M5" s="637"/>
    </row>
    <row r="6" spans="1:13" ht="33.75" customHeight="1" thickTop="1" thickBot="1" x14ac:dyDescent="0.3">
      <c r="A6" s="661"/>
      <c r="B6" s="661"/>
      <c r="C6" s="661"/>
      <c r="D6" s="515" t="s">
        <v>4</v>
      </c>
      <c r="E6" s="515" t="s">
        <v>5</v>
      </c>
      <c r="F6" s="515" t="s">
        <v>6</v>
      </c>
      <c r="G6" s="515" t="s">
        <v>7</v>
      </c>
      <c r="H6" s="515" t="s">
        <v>2</v>
      </c>
      <c r="I6" s="515" t="s">
        <v>3</v>
      </c>
      <c r="J6" s="515" t="s">
        <v>8</v>
      </c>
      <c r="K6" s="515" t="s">
        <v>9</v>
      </c>
      <c r="L6" s="515" t="s">
        <v>1963</v>
      </c>
      <c r="M6" s="513" t="s">
        <v>1964</v>
      </c>
    </row>
    <row r="7" spans="1:13" ht="48" customHeight="1" thickTop="1" thickBot="1" x14ac:dyDescent="0.3">
      <c r="A7" s="551" t="s">
        <v>1864</v>
      </c>
      <c r="B7" s="551" t="s">
        <v>1863</v>
      </c>
      <c r="C7" s="551" t="s">
        <v>18</v>
      </c>
      <c r="D7" s="550">
        <v>2</v>
      </c>
      <c r="E7" s="548">
        <v>30</v>
      </c>
      <c r="F7" s="548">
        <v>3</v>
      </c>
      <c r="G7" s="550">
        <v>848</v>
      </c>
      <c r="H7" s="558">
        <v>116353732</v>
      </c>
      <c r="I7" s="552">
        <v>0</v>
      </c>
      <c r="J7" s="254" t="s">
        <v>1865</v>
      </c>
      <c r="K7" s="550" t="s">
        <v>20</v>
      </c>
      <c r="L7" s="550">
        <v>150</v>
      </c>
      <c r="M7" s="550">
        <v>0</v>
      </c>
    </row>
    <row r="8" spans="1:13" ht="31.5" thickTop="1" thickBot="1" x14ac:dyDescent="0.3">
      <c r="A8" s="551" t="s">
        <v>1864</v>
      </c>
      <c r="B8" s="551" t="s">
        <v>1863</v>
      </c>
      <c r="C8" s="654" t="s">
        <v>53</v>
      </c>
      <c r="D8" s="550">
        <v>2</v>
      </c>
      <c r="E8" s="548">
        <v>30</v>
      </c>
      <c r="F8" s="548">
        <v>3</v>
      </c>
      <c r="G8" s="550">
        <v>520</v>
      </c>
      <c r="H8" s="558">
        <v>260354741</v>
      </c>
      <c r="I8" s="552">
        <v>0</v>
      </c>
      <c r="J8" s="254" t="s">
        <v>1866</v>
      </c>
      <c r="K8" s="550" t="s">
        <v>55</v>
      </c>
      <c r="L8" s="550">
        <v>3</v>
      </c>
      <c r="M8" s="550">
        <v>0</v>
      </c>
    </row>
    <row r="9" spans="1:13" ht="37.5" customHeight="1" thickTop="1" thickBot="1" x14ac:dyDescent="0.3">
      <c r="A9" s="551" t="s">
        <v>1864</v>
      </c>
      <c r="B9" s="551" t="s">
        <v>1863</v>
      </c>
      <c r="C9" s="654"/>
      <c r="D9" s="550">
        <v>2</v>
      </c>
      <c r="E9" s="548">
        <v>30</v>
      </c>
      <c r="F9" s="548">
        <v>3</v>
      </c>
      <c r="G9" s="550">
        <v>520</v>
      </c>
      <c r="H9" s="558">
        <v>450886853</v>
      </c>
      <c r="I9" s="552">
        <v>0</v>
      </c>
      <c r="J9" s="254" t="s">
        <v>1867</v>
      </c>
      <c r="K9" s="550" t="s">
        <v>13</v>
      </c>
      <c r="L9" s="550">
        <v>3</v>
      </c>
      <c r="M9" s="550">
        <v>0</v>
      </c>
    </row>
    <row r="10" spans="1:13" ht="37.5" customHeight="1" thickTop="1" thickBot="1" x14ac:dyDescent="0.3">
      <c r="A10" s="551" t="s">
        <v>1864</v>
      </c>
      <c r="B10" s="551" t="s">
        <v>1863</v>
      </c>
      <c r="C10" s="551" t="s">
        <v>1868</v>
      </c>
      <c r="D10" s="550">
        <v>2</v>
      </c>
      <c r="E10" s="548">
        <v>30</v>
      </c>
      <c r="F10" s="548">
        <v>3</v>
      </c>
      <c r="G10" s="550">
        <v>530</v>
      </c>
      <c r="H10" s="558">
        <v>193082439</v>
      </c>
      <c r="I10" s="552">
        <v>0</v>
      </c>
      <c r="J10" s="254" t="s">
        <v>1869</v>
      </c>
      <c r="K10" s="550" t="s">
        <v>2168</v>
      </c>
      <c r="L10" s="550">
        <v>1200</v>
      </c>
      <c r="M10" s="550">
        <v>0</v>
      </c>
    </row>
    <row r="11" spans="1:13" ht="37.5" customHeight="1" thickTop="1" thickBot="1" x14ac:dyDescent="0.3">
      <c r="A11" s="551" t="s">
        <v>1864</v>
      </c>
      <c r="B11" s="551" t="s">
        <v>1863</v>
      </c>
      <c r="C11" s="551" t="s">
        <v>18</v>
      </c>
      <c r="D11" s="550">
        <v>2</v>
      </c>
      <c r="E11" s="548">
        <v>30</v>
      </c>
      <c r="F11" s="548">
        <v>3</v>
      </c>
      <c r="G11" s="550">
        <v>960</v>
      </c>
      <c r="H11" s="558">
        <v>274178380</v>
      </c>
      <c r="I11" s="558">
        <v>274178380</v>
      </c>
      <c r="J11" s="557" t="s">
        <v>1870</v>
      </c>
      <c r="K11" s="550" t="s">
        <v>16</v>
      </c>
      <c r="L11" s="550">
        <v>1</v>
      </c>
      <c r="M11" s="550">
        <v>1</v>
      </c>
    </row>
    <row r="12" spans="1:13" ht="48.75" customHeight="1" thickTop="1" thickBot="1" x14ac:dyDescent="0.3">
      <c r="A12" s="551" t="s">
        <v>1864</v>
      </c>
      <c r="B12" s="551" t="s">
        <v>1863</v>
      </c>
      <c r="C12" s="551" t="s">
        <v>53</v>
      </c>
      <c r="D12" s="550">
        <v>2</v>
      </c>
      <c r="E12" s="548">
        <v>30</v>
      </c>
      <c r="F12" s="548">
        <v>3</v>
      </c>
      <c r="G12" s="550">
        <v>980</v>
      </c>
      <c r="H12" s="558">
        <v>6917561</v>
      </c>
      <c r="I12" s="552">
        <v>0</v>
      </c>
      <c r="J12" s="557" t="s">
        <v>1871</v>
      </c>
      <c r="K12" s="550" t="s">
        <v>16</v>
      </c>
      <c r="L12" s="550">
        <v>1</v>
      </c>
      <c r="M12" s="550">
        <v>0</v>
      </c>
    </row>
    <row r="13" spans="1:13" ht="16.5" thickTop="1" thickBot="1" x14ac:dyDescent="0.3"/>
    <row r="14" spans="1:13" ht="30" customHeight="1" thickTop="1" thickBot="1" x14ac:dyDescent="0.3">
      <c r="A14" s="639" t="s">
        <v>1</v>
      </c>
      <c r="B14" s="639" t="s">
        <v>0</v>
      </c>
      <c r="C14" s="639" t="s">
        <v>2569</v>
      </c>
      <c r="D14" s="636" t="s">
        <v>1961</v>
      </c>
      <c r="E14" s="637"/>
      <c r="F14" s="637"/>
      <c r="G14" s="638"/>
      <c r="H14" s="636" t="s">
        <v>3</v>
      </c>
      <c r="I14" s="637"/>
      <c r="J14" s="636" t="s">
        <v>1962</v>
      </c>
      <c r="K14" s="637"/>
      <c r="L14" s="637"/>
      <c r="M14" s="637"/>
    </row>
    <row r="15" spans="1:13" ht="34.5" customHeight="1" thickTop="1" thickBot="1" x14ac:dyDescent="0.3">
      <c r="A15" s="661"/>
      <c r="B15" s="661"/>
      <c r="C15" s="661"/>
      <c r="D15" s="515" t="s">
        <v>4</v>
      </c>
      <c r="E15" s="515" t="s">
        <v>5</v>
      </c>
      <c r="F15" s="515" t="s">
        <v>6</v>
      </c>
      <c r="G15" s="515" t="s">
        <v>7</v>
      </c>
      <c r="H15" s="515" t="s">
        <v>2</v>
      </c>
      <c r="I15" s="515" t="s">
        <v>3</v>
      </c>
      <c r="J15" s="515" t="s">
        <v>8</v>
      </c>
      <c r="K15" s="515" t="s">
        <v>9</v>
      </c>
      <c r="L15" s="515" t="s">
        <v>1963</v>
      </c>
      <c r="M15" s="513" t="s">
        <v>1964</v>
      </c>
    </row>
    <row r="16" spans="1:13" ht="50.25" customHeight="1" thickTop="1" thickBot="1" x14ac:dyDescent="0.3">
      <c r="A16" s="551" t="s">
        <v>1872</v>
      </c>
      <c r="B16" s="551" t="s">
        <v>1863</v>
      </c>
      <c r="C16" s="551" t="s">
        <v>18</v>
      </c>
      <c r="D16" s="551">
        <v>2</v>
      </c>
      <c r="E16" s="551">
        <v>30</v>
      </c>
      <c r="F16" s="551">
        <v>3</v>
      </c>
      <c r="G16" s="551">
        <v>848</v>
      </c>
      <c r="H16" s="558">
        <v>255535242</v>
      </c>
      <c r="I16" s="558">
        <v>0</v>
      </c>
      <c r="J16" s="557" t="s">
        <v>1873</v>
      </c>
      <c r="K16" s="550" t="s">
        <v>20</v>
      </c>
      <c r="L16" s="551">
        <v>152</v>
      </c>
      <c r="M16" s="551">
        <v>0</v>
      </c>
    </row>
    <row r="17" spans="1:13" ht="31.5" customHeight="1" thickTop="1" thickBot="1" x14ac:dyDescent="0.3">
      <c r="A17" s="551" t="s">
        <v>1872</v>
      </c>
      <c r="B17" s="551" t="s">
        <v>1863</v>
      </c>
      <c r="C17" s="651" t="s">
        <v>53</v>
      </c>
      <c r="D17" s="551">
        <v>2</v>
      </c>
      <c r="E17" s="551">
        <v>30</v>
      </c>
      <c r="F17" s="551">
        <v>3</v>
      </c>
      <c r="G17" s="551">
        <v>521</v>
      </c>
      <c r="H17" s="558">
        <v>275892070</v>
      </c>
      <c r="I17" s="558">
        <v>252057254</v>
      </c>
      <c r="J17" s="557" t="s">
        <v>1874</v>
      </c>
      <c r="K17" s="550" t="s">
        <v>55</v>
      </c>
      <c r="L17" s="551">
        <v>2</v>
      </c>
      <c r="M17" s="551">
        <v>2</v>
      </c>
    </row>
    <row r="18" spans="1:13" ht="31.5" customHeight="1" thickTop="1" thickBot="1" x14ac:dyDescent="0.3">
      <c r="A18" s="551" t="s">
        <v>1872</v>
      </c>
      <c r="B18" s="551" t="s">
        <v>1863</v>
      </c>
      <c r="C18" s="652"/>
      <c r="D18" s="551">
        <v>2</v>
      </c>
      <c r="E18" s="551">
        <v>30</v>
      </c>
      <c r="F18" s="551">
        <v>3</v>
      </c>
      <c r="G18" s="551">
        <v>521</v>
      </c>
      <c r="H18" s="558">
        <v>150000000</v>
      </c>
      <c r="I18" s="558">
        <v>130716672</v>
      </c>
      <c r="J18" s="557" t="s">
        <v>1875</v>
      </c>
      <c r="K18" s="550" t="s">
        <v>1462</v>
      </c>
      <c r="L18" s="551">
        <v>1</v>
      </c>
      <c r="M18" s="551">
        <v>1</v>
      </c>
    </row>
    <row r="19" spans="1:13" ht="31.5" customHeight="1" thickTop="1" thickBot="1" x14ac:dyDescent="0.3">
      <c r="A19" s="551" t="s">
        <v>1872</v>
      </c>
      <c r="B19" s="551" t="s">
        <v>1863</v>
      </c>
      <c r="C19" s="653"/>
      <c r="D19" s="551">
        <v>2</v>
      </c>
      <c r="E19" s="551">
        <v>30</v>
      </c>
      <c r="F19" s="551">
        <v>3</v>
      </c>
      <c r="G19" s="551">
        <v>522</v>
      </c>
      <c r="H19" s="558">
        <v>170356829</v>
      </c>
      <c r="I19" s="558">
        <v>0</v>
      </c>
      <c r="J19" s="557" t="s">
        <v>1876</v>
      </c>
      <c r="K19" s="550" t="s">
        <v>11</v>
      </c>
      <c r="L19" s="551">
        <v>270</v>
      </c>
      <c r="M19" s="563">
        <v>0</v>
      </c>
    </row>
    <row r="20" spans="1:13" ht="16.5" thickTop="1" thickBot="1" x14ac:dyDescent="0.3"/>
    <row r="21" spans="1:13" ht="30" customHeight="1" thickTop="1" thickBot="1" x14ac:dyDescent="0.3">
      <c r="A21" s="639" t="s">
        <v>1</v>
      </c>
      <c r="B21" s="639" t="s">
        <v>0</v>
      </c>
      <c r="C21" s="639" t="s">
        <v>2569</v>
      </c>
      <c r="D21" s="636" t="s">
        <v>1961</v>
      </c>
      <c r="E21" s="637"/>
      <c r="F21" s="637"/>
      <c r="G21" s="638"/>
      <c r="H21" s="636" t="s">
        <v>3</v>
      </c>
      <c r="I21" s="637"/>
      <c r="J21" s="636" t="s">
        <v>1962</v>
      </c>
      <c r="K21" s="637"/>
      <c r="L21" s="637"/>
      <c r="M21" s="637"/>
    </row>
    <row r="22" spans="1:13" ht="34.5" customHeight="1" thickTop="1" thickBot="1" x14ac:dyDescent="0.3">
      <c r="A22" s="661"/>
      <c r="B22" s="661"/>
      <c r="C22" s="661"/>
      <c r="D22" s="515" t="s">
        <v>4</v>
      </c>
      <c r="E22" s="515" t="s">
        <v>5</v>
      </c>
      <c r="F22" s="515" t="s">
        <v>6</v>
      </c>
      <c r="G22" s="515" t="s">
        <v>7</v>
      </c>
      <c r="H22" s="515" t="s">
        <v>2</v>
      </c>
      <c r="I22" s="515" t="s">
        <v>3</v>
      </c>
      <c r="J22" s="515" t="s">
        <v>8</v>
      </c>
      <c r="K22" s="515" t="s">
        <v>9</v>
      </c>
      <c r="L22" s="515" t="s">
        <v>1963</v>
      </c>
      <c r="M22" s="513" t="s">
        <v>1964</v>
      </c>
    </row>
    <row r="23" spans="1:13" ht="39" customHeight="1" thickTop="1" thickBot="1" x14ac:dyDescent="0.3">
      <c r="A23" s="551" t="s">
        <v>1877</v>
      </c>
      <c r="B23" s="551" t="s">
        <v>1863</v>
      </c>
      <c r="C23" s="550" t="s">
        <v>18</v>
      </c>
      <c r="D23" s="297">
        <v>3</v>
      </c>
      <c r="E23" s="297">
        <v>30</v>
      </c>
      <c r="F23" s="297">
        <v>3</v>
      </c>
      <c r="G23" s="297">
        <v>848</v>
      </c>
      <c r="H23" s="558">
        <f>963595199</f>
        <v>963595199</v>
      </c>
      <c r="I23" s="558">
        <f>678855000+278855000</f>
        <v>957710000</v>
      </c>
      <c r="J23" s="557" t="s">
        <v>1878</v>
      </c>
      <c r="K23" s="551" t="s">
        <v>20</v>
      </c>
      <c r="L23" s="551">
        <v>1390</v>
      </c>
      <c r="M23" s="551">
        <f>998+389</f>
        <v>1387</v>
      </c>
    </row>
    <row r="24" spans="1:13" ht="30" customHeight="1" thickTop="1" thickBot="1" x14ac:dyDescent="0.3">
      <c r="A24" s="551" t="s">
        <v>1877</v>
      </c>
      <c r="B24" s="551" t="s">
        <v>1863</v>
      </c>
      <c r="C24" s="654" t="s">
        <v>53</v>
      </c>
      <c r="D24" s="297">
        <v>2</v>
      </c>
      <c r="E24" s="297">
        <v>30</v>
      </c>
      <c r="F24" s="297">
        <v>3</v>
      </c>
      <c r="G24" s="297">
        <v>520</v>
      </c>
      <c r="H24" s="558">
        <v>1226351800</v>
      </c>
      <c r="I24" s="558">
        <v>0</v>
      </c>
      <c r="J24" s="557" t="s">
        <v>1879</v>
      </c>
      <c r="K24" s="550" t="s">
        <v>55</v>
      </c>
      <c r="L24" s="297">
        <v>7</v>
      </c>
      <c r="M24" s="297">
        <v>0</v>
      </c>
    </row>
    <row r="25" spans="1:13" ht="30" customHeight="1" thickTop="1" thickBot="1" x14ac:dyDescent="0.3">
      <c r="A25" s="551" t="s">
        <v>1877</v>
      </c>
      <c r="B25" s="551" t="s">
        <v>1863</v>
      </c>
      <c r="C25" s="654"/>
      <c r="D25" s="297">
        <v>2</v>
      </c>
      <c r="E25" s="297">
        <v>30</v>
      </c>
      <c r="F25" s="297">
        <v>3</v>
      </c>
      <c r="G25" s="297">
        <v>520</v>
      </c>
      <c r="H25" s="558">
        <v>514253765</v>
      </c>
      <c r="I25" s="558">
        <v>0</v>
      </c>
      <c r="J25" s="557" t="s">
        <v>1880</v>
      </c>
      <c r="K25" s="550" t="s">
        <v>55</v>
      </c>
      <c r="L25" s="297">
        <v>6</v>
      </c>
      <c r="M25" s="297">
        <v>0</v>
      </c>
    </row>
    <row r="26" spans="1:13" ht="37.5" customHeight="1" thickTop="1" thickBot="1" x14ac:dyDescent="0.3">
      <c r="A26" s="551" t="s">
        <v>1877</v>
      </c>
      <c r="B26" s="551" t="s">
        <v>1863</v>
      </c>
      <c r="C26" s="654"/>
      <c r="D26" s="297">
        <v>2</v>
      </c>
      <c r="E26" s="297">
        <v>30</v>
      </c>
      <c r="F26" s="297">
        <v>3</v>
      </c>
      <c r="G26" s="297">
        <v>520</v>
      </c>
      <c r="H26" s="558">
        <v>141439948</v>
      </c>
      <c r="I26" s="558">
        <v>0</v>
      </c>
      <c r="J26" s="557" t="s">
        <v>1881</v>
      </c>
      <c r="K26" s="297" t="s">
        <v>25</v>
      </c>
      <c r="L26" s="297">
        <v>1</v>
      </c>
      <c r="M26" s="297">
        <v>0</v>
      </c>
    </row>
    <row r="27" spans="1:13" ht="33.75" customHeight="1" thickTop="1" thickBot="1" x14ac:dyDescent="0.3">
      <c r="A27" s="551" t="s">
        <v>1877</v>
      </c>
      <c r="B27" s="551" t="s">
        <v>1863</v>
      </c>
      <c r="C27" s="654"/>
      <c r="D27" s="297">
        <v>2</v>
      </c>
      <c r="E27" s="297">
        <v>30</v>
      </c>
      <c r="F27" s="297">
        <v>3</v>
      </c>
      <c r="G27" s="297">
        <v>520</v>
      </c>
      <c r="H27" s="558">
        <v>366343283</v>
      </c>
      <c r="I27" s="558">
        <v>0</v>
      </c>
      <c r="J27" s="557" t="s">
        <v>1882</v>
      </c>
      <c r="K27" s="550" t="s">
        <v>1462</v>
      </c>
      <c r="L27" s="297">
        <v>2</v>
      </c>
      <c r="M27" s="297">
        <v>0</v>
      </c>
    </row>
    <row r="28" spans="1:13" ht="16.5" thickTop="1" thickBot="1" x14ac:dyDescent="0.3"/>
    <row r="29" spans="1:13" ht="29.25" customHeight="1" thickTop="1" thickBot="1" x14ac:dyDescent="0.3">
      <c r="A29" s="639" t="s">
        <v>1</v>
      </c>
      <c r="B29" s="639" t="s">
        <v>0</v>
      </c>
      <c r="C29" s="639" t="s">
        <v>2569</v>
      </c>
      <c r="D29" s="636" t="s">
        <v>1961</v>
      </c>
      <c r="E29" s="637"/>
      <c r="F29" s="637"/>
      <c r="G29" s="638"/>
      <c r="H29" s="636" t="s">
        <v>3</v>
      </c>
      <c r="I29" s="637"/>
      <c r="J29" s="636" t="s">
        <v>1962</v>
      </c>
      <c r="K29" s="637"/>
      <c r="L29" s="637"/>
      <c r="M29" s="637"/>
    </row>
    <row r="30" spans="1:13" ht="34.5" customHeight="1" thickTop="1" thickBot="1" x14ac:dyDescent="0.3">
      <c r="A30" s="661"/>
      <c r="B30" s="661"/>
      <c r="C30" s="661"/>
      <c r="D30" s="515" t="s">
        <v>4</v>
      </c>
      <c r="E30" s="515" t="s">
        <v>5</v>
      </c>
      <c r="F30" s="515" t="s">
        <v>6</v>
      </c>
      <c r="G30" s="515" t="s">
        <v>7</v>
      </c>
      <c r="H30" s="515" t="s">
        <v>2</v>
      </c>
      <c r="I30" s="515" t="s">
        <v>3</v>
      </c>
      <c r="J30" s="515" t="s">
        <v>8</v>
      </c>
      <c r="K30" s="515" t="s">
        <v>9</v>
      </c>
      <c r="L30" s="515" t="s">
        <v>1963</v>
      </c>
      <c r="M30" s="513" t="s">
        <v>1964</v>
      </c>
    </row>
    <row r="31" spans="1:13" ht="81" customHeight="1" thickTop="1" thickBot="1" x14ac:dyDescent="0.3">
      <c r="A31" s="551" t="s">
        <v>1883</v>
      </c>
      <c r="B31" s="551" t="s">
        <v>1863</v>
      </c>
      <c r="C31" s="550" t="s">
        <v>18</v>
      </c>
      <c r="D31" s="297">
        <v>2</v>
      </c>
      <c r="E31" s="297">
        <v>30</v>
      </c>
      <c r="F31" s="297">
        <v>3</v>
      </c>
      <c r="G31" s="297">
        <v>848</v>
      </c>
      <c r="H31" s="558">
        <v>629960908</v>
      </c>
      <c r="I31" s="558">
        <v>68880000</v>
      </c>
      <c r="J31" s="557" t="s">
        <v>1884</v>
      </c>
      <c r="K31" s="551" t="s">
        <v>20</v>
      </c>
      <c r="L31" s="551">
        <v>200</v>
      </c>
      <c r="M31" s="551">
        <v>21</v>
      </c>
    </row>
    <row r="32" spans="1:13" ht="45" customHeight="1" thickTop="1" thickBot="1" x14ac:dyDescent="0.3">
      <c r="A32" s="551" t="s">
        <v>1883</v>
      </c>
      <c r="B32" s="551" t="s">
        <v>1863</v>
      </c>
      <c r="C32" s="550" t="s">
        <v>53</v>
      </c>
      <c r="D32" s="297">
        <v>2</v>
      </c>
      <c r="E32" s="297">
        <v>30</v>
      </c>
      <c r="F32" s="297">
        <v>3</v>
      </c>
      <c r="G32" s="297">
        <v>520</v>
      </c>
      <c r="H32" s="558">
        <v>77306400</v>
      </c>
      <c r="I32" s="558">
        <v>0</v>
      </c>
      <c r="J32" s="557" t="s">
        <v>1885</v>
      </c>
      <c r="K32" s="551" t="s">
        <v>354</v>
      </c>
      <c r="L32" s="551">
        <v>2</v>
      </c>
      <c r="M32" s="551">
        <v>0</v>
      </c>
    </row>
    <row r="33" spans="1:13" ht="45" customHeight="1" thickTop="1" thickBot="1" x14ac:dyDescent="0.3">
      <c r="A33" s="551" t="s">
        <v>1883</v>
      </c>
      <c r="B33" s="551" t="s">
        <v>1863</v>
      </c>
      <c r="C33" s="550" t="s">
        <v>53</v>
      </c>
      <c r="D33" s="297">
        <v>2</v>
      </c>
      <c r="E33" s="297">
        <v>30</v>
      </c>
      <c r="F33" s="297">
        <v>3</v>
      </c>
      <c r="G33" s="297">
        <v>520</v>
      </c>
      <c r="H33" s="558">
        <v>80000000</v>
      </c>
      <c r="I33" s="558">
        <v>0</v>
      </c>
      <c r="J33" s="557" t="s">
        <v>1886</v>
      </c>
      <c r="K33" s="551" t="s">
        <v>354</v>
      </c>
      <c r="L33" s="551">
        <v>1</v>
      </c>
      <c r="M33" s="551">
        <v>0</v>
      </c>
    </row>
    <row r="34" spans="1:13" ht="45" customHeight="1" thickTop="1" thickBot="1" x14ac:dyDescent="0.3">
      <c r="A34" s="551" t="s">
        <v>1883</v>
      </c>
      <c r="B34" s="551" t="s">
        <v>1863</v>
      </c>
      <c r="C34" s="550" t="s">
        <v>53</v>
      </c>
      <c r="D34" s="297">
        <v>2</v>
      </c>
      <c r="E34" s="297">
        <v>30</v>
      </c>
      <c r="F34" s="297">
        <v>3</v>
      </c>
      <c r="G34" s="297">
        <v>520</v>
      </c>
      <c r="H34" s="558">
        <v>183258000</v>
      </c>
      <c r="I34" s="558">
        <v>0</v>
      </c>
      <c r="J34" s="557" t="s">
        <v>1887</v>
      </c>
      <c r="K34" s="551" t="s">
        <v>354</v>
      </c>
      <c r="L34" s="551">
        <v>11</v>
      </c>
      <c r="M34" s="551">
        <v>0</v>
      </c>
    </row>
    <row r="35" spans="1:13" ht="45" customHeight="1" thickTop="1" thickBot="1" x14ac:dyDescent="0.3">
      <c r="A35" s="551" t="s">
        <v>1883</v>
      </c>
      <c r="B35" s="551" t="s">
        <v>1863</v>
      </c>
      <c r="C35" s="550" t="s">
        <v>53</v>
      </c>
      <c r="D35" s="297">
        <v>2</v>
      </c>
      <c r="E35" s="297">
        <v>30</v>
      </c>
      <c r="F35" s="297">
        <v>3</v>
      </c>
      <c r="G35" s="297">
        <v>520</v>
      </c>
      <c r="H35" s="558">
        <v>74219960</v>
      </c>
      <c r="I35" s="558">
        <v>0</v>
      </c>
      <c r="J35" s="557" t="s">
        <v>1888</v>
      </c>
      <c r="K35" s="551" t="s">
        <v>354</v>
      </c>
      <c r="L35" s="551">
        <v>1</v>
      </c>
      <c r="M35" s="551">
        <v>0</v>
      </c>
    </row>
    <row r="36" spans="1:13" ht="45" customHeight="1" thickTop="1" thickBot="1" x14ac:dyDescent="0.3">
      <c r="A36" s="551" t="s">
        <v>1883</v>
      </c>
      <c r="B36" s="551" t="s">
        <v>1863</v>
      </c>
      <c r="C36" s="550" t="s">
        <v>53</v>
      </c>
      <c r="D36" s="297">
        <v>2</v>
      </c>
      <c r="E36" s="297">
        <v>30</v>
      </c>
      <c r="F36" s="297">
        <v>3</v>
      </c>
      <c r="G36" s="297">
        <v>520</v>
      </c>
      <c r="H36" s="558">
        <v>47715000</v>
      </c>
      <c r="I36" s="558">
        <v>0</v>
      </c>
      <c r="J36" s="557" t="s">
        <v>1889</v>
      </c>
      <c r="K36" s="551" t="s">
        <v>25</v>
      </c>
      <c r="L36" s="551">
        <v>1</v>
      </c>
      <c r="M36" s="551">
        <v>0</v>
      </c>
    </row>
    <row r="37" spans="1:13" ht="45" customHeight="1" thickTop="1" thickBot="1" x14ac:dyDescent="0.3">
      <c r="A37" s="551" t="s">
        <v>1883</v>
      </c>
      <c r="B37" s="551" t="s">
        <v>1863</v>
      </c>
      <c r="C37" s="550" t="s">
        <v>53</v>
      </c>
      <c r="D37" s="297">
        <v>2</v>
      </c>
      <c r="E37" s="297">
        <v>30</v>
      </c>
      <c r="F37" s="297">
        <v>3</v>
      </c>
      <c r="G37" s="297">
        <v>520</v>
      </c>
      <c r="H37" s="558">
        <v>76301200</v>
      </c>
      <c r="I37" s="558">
        <v>0</v>
      </c>
      <c r="J37" s="557" t="s">
        <v>1890</v>
      </c>
      <c r="K37" s="551" t="s">
        <v>25</v>
      </c>
      <c r="L37" s="551">
        <v>1</v>
      </c>
      <c r="M37" s="551">
        <v>0</v>
      </c>
    </row>
    <row r="38" spans="1:13" ht="45" customHeight="1" thickTop="1" thickBot="1" x14ac:dyDescent="0.3">
      <c r="A38" s="551" t="s">
        <v>1883</v>
      </c>
      <c r="B38" s="551" t="s">
        <v>1863</v>
      </c>
      <c r="C38" s="550" t="s">
        <v>53</v>
      </c>
      <c r="D38" s="297">
        <v>2</v>
      </c>
      <c r="E38" s="297">
        <v>30</v>
      </c>
      <c r="F38" s="297">
        <v>3</v>
      </c>
      <c r="G38" s="297">
        <v>520</v>
      </c>
      <c r="H38" s="558">
        <v>111045345</v>
      </c>
      <c r="I38" s="558">
        <v>0</v>
      </c>
      <c r="J38" s="557" t="s">
        <v>1891</v>
      </c>
      <c r="K38" s="551" t="s">
        <v>1462</v>
      </c>
      <c r="L38" s="551">
        <v>1</v>
      </c>
      <c r="M38" s="551">
        <v>0</v>
      </c>
    </row>
    <row r="39" spans="1:13" ht="57.75" thickTop="1" thickBot="1" x14ac:dyDescent="0.3">
      <c r="A39" s="551" t="s">
        <v>1883</v>
      </c>
      <c r="B39" s="551" t="s">
        <v>1863</v>
      </c>
      <c r="C39" s="550" t="s">
        <v>53</v>
      </c>
      <c r="D39" s="297">
        <v>2</v>
      </c>
      <c r="E39" s="297">
        <v>30</v>
      </c>
      <c r="F39" s="297">
        <v>3</v>
      </c>
      <c r="G39" s="297">
        <v>520</v>
      </c>
      <c r="H39" s="558">
        <v>30000000</v>
      </c>
      <c r="I39" s="558">
        <v>30000000</v>
      </c>
      <c r="J39" s="557" t="s">
        <v>1892</v>
      </c>
      <c r="K39" s="551" t="s">
        <v>12</v>
      </c>
      <c r="L39" s="551">
        <v>400</v>
      </c>
      <c r="M39" s="551">
        <v>400</v>
      </c>
    </row>
    <row r="40" spans="1:13" ht="46.5" customHeight="1" thickTop="1" thickBot="1" x14ac:dyDescent="0.3">
      <c r="A40" s="551" t="s">
        <v>1883</v>
      </c>
      <c r="B40" s="551" t="s">
        <v>1863</v>
      </c>
      <c r="C40" s="550" t="s">
        <v>53</v>
      </c>
      <c r="D40" s="297">
        <v>2</v>
      </c>
      <c r="E40" s="297">
        <v>30</v>
      </c>
      <c r="F40" s="297">
        <v>3</v>
      </c>
      <c r="G40" s="297">
        <v>520</v>
      </c>
      <c r="H40" s="558">
        <v>76301200</v>
      </c>
      <c r="I40" s="558">
        <v>0</v>
      </c>
      <c r="J40" s="557" t="s">
        <v>1893</v>
      </c>
      <c r="K40" s="551" t="s">
        <v>25</v>
      </c>
      <c r="L40" s="551">
        <v>1</v>
      </c>
      <c r="M40" s="551">
        <v>0</v>
      </c>
    </row>
    <row r="41" spans="1:13" ht="48" customHeight="1" thickTop="1" thickBot="1" x14ac:dyDescent="0.3">
      <c r="A41" s="551" t="s">
        <v>1883</v>
      </c>
      <c r="B41" s="551" t="s">
        <v>1863</v>
      </c>
      <c r="C41" s="550" t="s">
        <v>53</v>
      </c>
      <c r="D41" s="297">
        <v>2</v>
      </c>
      <c r="E41" s="297">
        <v>30</v>
      </c>
      <c r="F41" s="297">
        <v>3</v>
      </c>
      <c r="G41" s="297">
        <v>520</v>
      </c>
      <c r="H41" s="558">
        <v>45000000</v>
      </c>
      <c r="I41" s="558">
        <v>0</v>
      </c>
      <c r="J41" s="557" t="s">
        <v>1894</v>
      </c>
      <c r="K41" s="551" t="s">
        <v>25</v>
      </c>
      <c r="L41" s="551">
        <v>1</v>
      </c>
      <c r="M41" s="551">
        <v>0</v>
      </c>
    </row>
    <row r="42" spans="1:13" ht="33" customHeight="1" thickTop="1" thickBot="1" x14ac:dyDescent="0.3">
      <c r="A42" s="551" t="s">
        <v>1883</v>
      </c>
      <c r="B42" s="551" t="s">
        <v>1863</v>
      </c>
      <c r="C42" s="550" t="s">
        <v>440</v>
      </c>
      <c r="D42" s="297">
        <v>2</v>
      </c>
      <c r="E42" s="297">
        <v>30</v>
      </c>
      <c r="F42" s="297">
        <v>3</v>
      </c>
      <c r="G42" s="297">
        <v>520</v>
      </c>
      <c r="H42" s="558">
        <v>40000000</v>
      </c>
      <c r="I42" s="558">
        <v>0</v>
      </c>
      <c r="J42" s="557" t="s">
        <v>1895</v>
      </c>
      <c r="K42" s="551" t="s">
        <v>11</v>
      </c>
      <c r="L42" s="551">
        <v>500</v>
      </c>
      <c r="M42" s="551">
        <v>0</v>
      </c>
    </row>
    <row r="43" spans="1:13" ht="39.75" customHeight="1" thickTop="1" thickBot="1" x14ac:dyDescent="0.3">
      <c r="A43" s="551" t="s">
        <v>1883</v>
      </c>
      <c r="B43" s="551" t="s">
        <v>1863</v>
      </c>
      <c r="C43" s="550" t="s">
        <v>440</v>
      </c>
      <c r="D43" s="297">
        <v>2</v>
      </c>
      <c r="E43" s="297">
        <v>30</v>
      </c>
      <c r="F43" s="297">
        <v>3</v>
      </c>
      <c r="G43" s="297">
        <v>520</v>
      </c>
      <c r="H43" s="558">
        <v>125000000</v>
      </c>
      <c r="I43" s="558">
        <v>0</v>
      </c>
      <c r="J43" s="557" t="s">
        <v>1896</v>
      </c>
      <c r="K43" s="551" t="s">
        <v>11</v>
      </c>
      <c r="L43" s="551">
        <v>50</v>
      </c>
      <c r="M43" s="551">
        <v>0</v>
      </c>
    </row>
    <row r="44" spans="1:13" ht="45.75" customHeight="1" thickTop="1" thickBot="1" x14ac:dyDescent="0.3">
      <c r="A44" s="551" t="s">
        <v>1883</v>
      </c>
      <c r="B44" s="551" t="s">
        <v>1863</v>
      </c>
      <c r="C44" s="550" t="s">
        <v>53</v>
      </c>
      <c r="D44" s="297">
        <v>2</v>
      </c>
      <c r="E44" s="297">
        <v>30</v>
      </c>
      <c r="F44" s="297">
        <v>3</v>
      </c>
      <c r="G44" s="297">
        <v>520</v>
      </c>
      <c r="H44" s="558">
        <v>76301200</v>
      </c>
      <c r="I44" s="558">
        <v>0</v>
      </c>
      <c r="J44" s="557" t="s">
        <v>1897</v>
      </c>
      <c r="K44" s="551" t="s">
        <v>25</v>
      </c>
      <c r="L44" s="551">
        <v>1</v>
      </c>
      <c r="M44" s="551">
        <v>0</v>
      </c>
    </row>
    <row r="45" spans="1:13" ht="48.75" customHeight="1" thickTop="1" thickBot="1" x14ac:dyDescent="0.3">
      <c r="A45" s="551" t="s">
        <v>1883</v>
      </c>
      <c r="B45" s="551" t="s">
        <v>1863</v>
      </c>
      <c r="C45" s="550" t="s">
        <v>53</v>
      </c>
      <c r="D45" s="297">
        <v>2</v>
      </c>
      <c r="E45" s="297">
        <v>30</v>
      </c>
      <c r="F45" s="297">
        <v>3</v>
      </c>
      <c r="G45" s="297">
        <v>520</v>
      </c>
      <c r="H45" s="558">
        <v>30699000</v>
      </c>
      <c r="I45" s="558">
        <v>0</v>
      </c>
      <c r="J45" s="557" t="s">
        <v>1898</v>
      </c>
      <c r="K45" s="551" t="s">
        <v>28</v>
      </c>
      <c r="L45" s="551">
        <v>1</v>
      </c>
      <c r="M45" s="551">
        <v>0</v>
      </c>
    </row>
    <row r="46" spans="1:13" ht="48.75" customHeight="1" thickTop="1" thickBot="1" x14ac:dyDescent="0.3">
      <c r="A46" s="551" t="s">
        <v>1883</v>
      </c>
      <c r="B46" s="551" t="s">
        <v>1863</v>
      </c>
      <c r="C46" s="550" t="s">
        <v>53</v>
      </c>
      <c r="D46" s="297">
        <v>2</v>
      </c>
      <c r="E46" s="297">
        <v>30</v>
      </c>
      <c r="F46" s="297">
        <v>3</v>
      </c>
      <c r="G46" s="297">
        <v>520</v>
      </c>
      <c r="H46" s="558">
        <v>121031820</v>
      </c>
      <c r="I46" s="558">
        <v>0</v>
      </c>
      <c r="J46" s="557" t="s">
        <v>1899</v>
      </c>
      <c r="K46" s="551" t="s">
        <v>1462</v>
      </c>
      <c r="L46" s="551">
        <v>1</v>
      </c>
      <c r="M46" s="551">
        <v>0</v>
      </c>
    </row>
    <row r="47" spans="1:13" ht="48.75" customHeight="1" thickTop="1" thickBot="1" x14ac:dyDescent="0.3">
      <c r="A47" s="551" t="s">
        <v>1883</v>
      </c>
      <c r="B47" s="551" t="s">
        <v>1863</v>
      </c>
      <c r="C47" s="550" t="s">
        <v>53</v>
      </c>
      <c r="D47" s="297">
        <v>2</v>
      </c>
      <c r="E47" s="297">
        <v>30</v>
      </c>
      <c r="F47" s="297">
        <v>3</v>
      </c>
      <c r="G47" s="297">
        <v>520</v>
      </c>
      <c r="H47" s="558">
        <v>76301200</v>
      </c>
      <c r="I47" s="558">
        <v>0</v>
      </c>
      <c r="J47" s="557" t="s">
        <v>1900</v>
      </c>
      <c r="K47" s="551" t="s">
        <v>103</v>
      </c>
      <c r="L47" s="551">
        <v>1</v>
      </c>
      <c r="M47" s="551">
        <v>0</v>
      </c>
    </row>
    <row r="48" spans="1:13" ht="48.75" customHeight="1" thickTop="1" thickBot="1" x14ac:dyDescent="0.3">
      <c r="A48" s="551" t="s">
        <v>1883</v>
      </c>
      <c r="B48" s="551" t="s">
        <v>1863</v>
      </c>
      <c r="C48" s="550" t="s">
        <v>53</v>
      </c>
      <c r="D48" s="297">
        <v>2</v>
      </c>
      <c r="E48" s="297">
        <v>30</v>
      </c>
      <c r="F48" s="297">
        <v>3</v>
      </c>
      <c r="G48" s="297">
        <v>520</v>
      </c>
      <c r="H48" s="558">
        <v>90076960</v>
      </c>
      <c r="I48" s="558">
        <v>0</v>
      </c>
      <c r="J48" s="557" t="s">
        <v>1901</v>
      </c>
      <c r="K48" s="551" t="s">
        <v>354</v>
      </c>
      <c r="L48" s="551">
        <v>1</v>
      </c>
      <c r="M48" s="551">
        <v>0</v>
      </c>
    </row>
    <row r="49" spans="1:13" ht="48.75" customHeight="1" thickTop="1" thickBot="1" x14ac:dyDescent="0.3">
      <c r="A49" s="551" t="s">
        <v>1883</v>
      </c>
      <c r="B49" s="551" t="s">
        <v>1863</v>
      </c>
      <c r="C49" s="550" t="s">
        <v>53</v>
      </c>
      <c r="D49" s="297">
        <v>2</v>
      </c>
      <c r="E49" s="297">
        <v>30</v>
      </c>
      <c r="F49" s="297">
        <v>3</v>
      </c>
      <c r="G49" s="297">
        <v>520</v>
      </c>
      <c r="H49" s="558">
        <v>14651500</v>
      </c>
      <c r="I49" s="558">
        <v>0</v>
      </c>
      <c r="J49" s="557" t="s">
        <v>1902</v>
      </c>
      <c r="K49" s="551" t="s">
        <v>11</v>
      </c>
      <c r="L49" s="551">
        <v>105</v>
      </c>
      <c r="M49" s="551">
        <v>0</v>
      </c>
    </row>
    <row r="50" spans="1:13" ht="39.75" customHeight="1" thickTop="1" thickBot="1" x14ac:dyDescent="0.3">
      <c r="A50" s="551" t="s">
        <v>1883</v>
      </c>
      <c r="B50" s="551" t="s">
        <v>1863</v>
      </c>
      <c r="C50" s="550" t="s">
        <v>105</v>
      </c>
      <c r="D50" s="297">
        <v>2</v>
      </c>
      <c r="E50" s="297">
        <v>30</v>
      </c>
      <c r="F50" s="297">
        <v>3</v>
      </c>
      <c r="G50" s="297">
        <v>540</v>
      </c>
      <c r="H50" s="558">
        <v>94700000</v>
      </c>
      <c r="I50" s="558">
        <v>0</v>
      </c>
      <c r="J50" s="557" t="s">
        <v>1903</v>
      </c>
      <c r="K50" s="551" t="s">
        <v>17</v>
      </c>
      <c r="L50" s="551">
        <v>996</v>
      </c>
      <c r="M50" s="551">
        <v>0</v>
      </c>
    </row>
    <row r="51" spans="1:13" ht="16.5" thickTop="1" thickBot="1" x14ac:dyDescent="0.3"/>
    <row r="52" spans="1:13" ht="30" customHeight="1" thickTop="1" thickBot="1" x14ac:dyDescent="0.3">
      <c r="A52" s="639" t="s">
        <v>1</v>
      </c>
      <c r="B52" s="639" t="s">
        <v>0</v>
      </c>
      <c r="C52" s="639" t="s">
        <v>2569</v>
      </c>
      <c r="D52" s="636" t="s">
        <v>1961</v>
      </c>
      <c r="E52" s="637"/>
      <c r="F52" s="637"/>
      <c r="G52" s="638"/>
      <c r="H52" s="636" t="s">
        <v>3</v>
      </c>
      <c r="I52" s="637"/>
      <c r="J52" s="636" t="s">
        <v>1962</v>
      </c>
      <c r="K52" s="637"/>
      <c r="L52" s="637"/>
      <c r="M52" s="637"/>
    </row>
    <row r="53" spans="1:13" ht="34.5" customHeight="1" thickTop="1" thickBot="1" x14ac:dyDescent="0.3">
      <c r="A53" s="661"/>
      <c r="B53" s="661"/>
      <c r="C53" s="661"/>
      <c r="D53" s="515" t="s">
        <v>4</v>
      </c>
      <c r="E53" s="515" t="s">
        <v>5</v>
      </c>
      <c r="F53" s="515" t="s">
        <v>6</v>
      </c>
      <c r="G53" s="515" t="s">
        <v>7</v>
      </c>
      <c r="H53" s="515" t="s">
        <v>2</v>
      </c>
      <c r="I53" s="515" t="s">
        <v>3</v>
      </c>
      <c r="J53" s="515" t="s">
        <v>8</v>
      </c>
      <c r="K53" s="515" t="s">
        <v>9</v>
      </c>
      <c r="L53" s="515" t="s">
        <v>1963</v>
      </c>
      <c r="M53" s="513" t="s">
        <v>1964</v>
      </c>
    </row>
    <row r="54" spans="1:13" ht="53.25" customHeight="1" thickTop="1" thickBot="1" x14ac:dyDescent="0.3">
      <c r="A54" s="551" t="s">
        <v>1904</v>
      </c>
      <c r="B54" s="551" t="s">
        <v>1863</v>
      </c>
      <c r="C54" s="550" t="s">
        <v>18</v>
      </c>
      <c r="D54" s="550">
        <v>3</v>
      </c>
      <c r="E54" s="550">
        <v>30</v>
      </c>
      <c r="F54" s="550">
        <v>3</v>
      </c>
      <c r="G54" s="550">
        <v>848</v>
      </c>
      <c r="H54" s="558">
        <v>504791911</v>
      </c>
      <c r="I54" s="558">
        <v>493391800</v>
      </c>
      <c r="J54" s="549" t="s">
        <v>2159</v>
      </c>
      <c r="K54" s="550" t="s">
        <v>20</v>
      </c>
      <c r="L54" s="548">
        <v>687</v>
      </c>
      <c r="M54" s="548">
        <v>661</v>
      </c>
    </row>
    <row r="55" spans="1:13" ht="37.5" customHeight="1" thickTop="1" thickBot="1" x14ac:dyDescent="0.3">
      <c r="A55" s="551" t="s">
        <v>1904</v>
      </c>
      <c r="B55" s="551" t="s">
        <v>1863</v>
      </c>
      <c r="C55" s="659" t="s">
        <v>53</v>
      </c>
      <c r="D55" s="550">
        <v>3</v>
      </c>
      <c r="E55" s="550">
        <v>30</v>
      </c>
      <c r="F55" s="550">
        <v>3</v>
      </c>
      <c r="G55" s="550">
        <v>520</v>
      </c>
      <c r="H55" s="558">
        <v>180000000</v>
      </c>
      <c r="I55" s="558">
        <v>0</v>
      </c>
      <c r="J55" s="549" t="s">
        <v>2160</v>
      </c>
      <c r="K55" s="550" t="s">
        <v>55</v>
      </c>
      <c r="L55" s="548">
        <v>2</v>
      </c>
      <c r="M55" s="548">
        <v>0</v>
      </c>
    </row>
    <row r="56" spans="1:13" ht="37.5" customHeight="1" thickTop="1" thickBot="1" x14ac:dyDescent="0.3">
      <c r="A56" s="551" t="s">
        <v>1904</v>
      </c>
      <c r="B56" s="551" t="s">
        <v>1863</v>
      </c>
      <c r="C56" s="659"/>
      <c r="D56" s="550">
        <v>3</v>
      </c>
      <c r="E56" s="550">
        <v>30</v>
      </c>
      <c r="F56" s="550">
        <v>3</v>
      </c>
      <c r="G56" s="550">
        <v>520</v>
      </c>
      <c r="H56" s="558">
        <v>100000000</v>
      </c>
      <c r="I56" s="558">
        <v>100000000</v>
      </c>
      <c r="J56" s="549" t="s">
        <v>2161</v>
      </c>
      <c r="K56" s="550" t="s">
        <v>13</v>
      </c>
      <c r="L56" s="548">
        <v>1</v>
      </c>
      <c r="M56" s="548">
        <v>1</v>
      </c>
    </row>
    <row r="57" spans="1:13" ht="37.5" customHeight="1" thickTop="1" thickBot="1" x14ac:dyDescent="0.3">
      <c r="A57" s="551" t="s">
        <v>1904</v>
      </c>
      <c r="B57" s="551" t="s">
        <v>1863</v>
      </c>
      <c r="C57" s="659"/>
      <c r="D57" s="550">
        <v>3</v>
      </c>
      <c r="E57" s="550">
        <v>30</v>
      </c>
      <c r="F57" s="550">
        <v>3</v>
      </c>
      <c r="G57" s="550">
        <v>520</v>
      </c>
      <c r="H57" s="558">
        <v>25000000</v>
      </c>
      <c r="I57" s="558">
        <v>22268013</v>
      </c>
      <c r="J57" s="549" t="s">
        <v>2162</v>
      </c>
      <c r="K57" s="550" t="s">
        <v>236</v>
      </c>
      <c r="L57" s="548">
        <v>1</v>
      </c>
      <c r="M57" s="548">
        <v>1</v>
      </c>
    </row>
    <row r="58" spans="1:13" ht="37.5" customHeight="1" thickTop="1" thickBot="1" x14ac:dyDescent="0.3">
      <c r="A58" s="551" t="s">
        <v>1904</v>
      </c>
      <c r="B58" s="551" t="s">
        <v>1863</v>
      </c>
      <c r="C58" s="659"/>
      <c r="D58" s="550">
        <v>3</v>
      </c>
      <c r="E58" s="550">
        <v>30</v>
      </c>
      <c r="F58" s="550">
        <v>3</v>
      </c>
      <c r="G58" s="550">
        <v>520</v>
      </c>
      <c r="H58" s="558">
        <f>367054240+54533158</f>
        <v>421587398</v>
      </c>
      <c r="I58" s="558">
        <v>421587398</v>
      </c>
      <c r="J58" s="549" t="s">
        <v>2163</v>
      </c>
      <c r="K58" s="550" t="s">
        <v>1462</v>
      </c>
      <c r="L58" s="548">
        <v>3</v>
      </c>
      <c r="M58" s="548">
        <v>3</v>
      </c>
    </row>
    <row r="59" spans="1:13" ht="37.5" customHeight="1" thickTop="1" thickBot="1" x14ac:dyDescent="0.3">
      <c r="A59" s="551" t="s">
        <v>1904</v>
      </c>
      <c r="B59" s="551" t="s">
        <v>1863</v>
      </c>
      <c r="C59" s="659"/>
      <c r="D59" s="550">
        <v>3</v>
      </c>
      <c r="E59" s="550">
        <v>30</v>
      </c>
      <c r="F59" s="550">
        <v>3</v>
      </c>
      <c r="G59" s="550">
        <v>520</v>
      </c>
      <c r="H59" s="558">
        <v>186260396</v>
      </c>
      <c r="I59" s="558">
        <v>0</v>
      </c>
      <c r="J59" s="549" t="s">
        <v>2164</v>
      </c>
      <c r="K59" s="550" t="s">
        <v>13</v>
      </c>
      <c r="L59" s="548">
        <v>5</v>
      </c>
      <c r="M59" s="548">
        <v>0</v>
      </c>
    </row>
    <row r="60" spans="1:13" ht="37.5" customHeight="1" thickTop="1" thickBot="1" x14ac:dyDescent="0.3">
      <c r="A60" s="551" t="s">
        <v>1904</v>
      </c>
      <c r="B60" s="551" t="s">
        <v>1863</v>
      </c>
      <c r="C60" s="659"/>
      <c r="D60" s="550">
        <v>3</v>
      </c>
      <c r="E60" s="550">
        <v>30</v>
      </c>
      <c r="F60" s="550">
        <v>3</v>
      </c>
      <c r="G60" s="550">
        <v>520</v>
      </c>
      <c r="H60" s="558">
        <v>130000000</v>
      </c>
      <c r="I60" s="558">
        <v>103163752</v>
      </c>
      <c r="J60" s="549" t="s">
        <v>2165</v>
      </c>
      <c r="K60" s="550" t="s">
        <v>13</v>
      </c>
      <c r="L60" s="548">
        <v>1</v>
      </c>
      <c r="M60" s="548">
        <v>1</v>
      </c>
    </row>
    <row r="61" spans="1:13" ht="37.5" customHeight="1" thickTop="1" thickBot="1" x14ac:dyDescent="0.3">
      <c r="A61" s="551" t="s">
        <v>1904</v>
      </c>
      <c r="B61" s="551" t="s">
        <v>1863</v>
      </c>
      <c r="C61" s="659"/>
      <c r="D61" s="550">
        <v>3</v>
      </c>
      <c r="E61" s="550">
        <v>30</v>
      </c>
      <c r="F61" s="550">
        <v>3</v>
      </c>
      <c r="G61" s="550">
        <v>520</v>
      </c>
      <c r="H61" s="558">
        <v>135000000</v>
      </c>
      <c r="I61" s="558">
        <v>31731987</v>
      </c>
      <c r="J61" s="549" t="s">
        <v>2166</v>
      </c>
      <c r="K61" s="550" t="s">
        <v>103</v>
      </c>
      <c r="L61" s="548">
        <v>3</v>
      </c>
      <c r="M61" s="548">
        <v>1</v>
      </c>
    </row>
    <row r="62" spans="1:13" ht="16.5" thickTop="1" thickBot="1" x14ac:dyDescent="0.3"/>
    <row r="63" spans="1:13" ht="30" customHeight="1" thickTop="1" thickBot="1" x14ac:dyDescent="0.3">
      <c r="A63" s="639" t="s">
        <v>1</v>
      </c>
      <c r="B63" s="639" t="s">
        <v>0</v>
      </c>
      <c r="C63" s="639" t="s">
        <v>2569</v>
      </c>
      <c r="D63" s="636" t="s">
        <v>1961</v>
      </c>
      <c r="E63" s="637"/>
      <c r="F63" s="637"/>
      <c r="G63" s="638"/>
      <c r="H63" s="636" t="s">
        <v>3</v>
      </c>
      <c r="I63" s="637"/>
      <c r="J63" s="636" t="s">
        <v>1962</v>
      </c>
      <c r="K63" s="637"/>
      <c r="L63" s="637"/>
      <c r="M63" s="637"/>
    </row>
    <row r="64" spans="1:13" ht="34.5" customHeight="1" thickTop="1" thickBot="1" x14ac:dyDescent="0.3">
      <c r="A64" s="661"/>
      <c r="B64" s="661"/>
      <c r="C64" s="661"/>
      <c r="D64" s="515" t="s">
        <v>4</v>
      </c>
      <c r="E64" s="515" t="s">
        <v>5</v>
      </c>
      <c r="F64" s="515" t="s">
        <v>6</v>
      </c>
      <c r="G64" s="515" t="s">
        <v>7</v>
      </c>
      <c r="H64" s="515" t="s">
        <v>2</v>
      </c>
      <c r="I64" s="515" t="s">
        <v>3</v>
      </c>
      <c r="J64" s="515" t="s">
        <v>8</v>
      </c>
      <c r="K64" s="515" t="s">
        <v>9</v>
      </c>
      <c r="L64" s="515" t="s">
        <v>1963</v>
      </c>
      <c r="M64" s="513" t="s">
        <v>1964</v>
      </c>
    </row>
    <row r="65" spans="1:13" ht="54.75" customHeight="1" thickTop="1" thickBot="1" x14ac:dyDescent="0.3">
      <c r="A65" s="551" t="s">
        <v>1905</v>
      </c>
      <c r="B65" s="551" t="s">
        <v>1863</v>
      </c>
      <c r="C65" s="551" t="s">
        <v>18</v>
      </c>
      <c r="D65" s="551">
        <v>2</v>
      </c>
      <c r="E65" s="550">
        <v>30</v>
      </c>
      <c r="F65" s="367" t="s">
        <v>297</v>
      </c>
      <c r="G65" s="550">
        <v>848</v>
      </c>
      <c r="H65" s="558">
        <v>435693201</v>
      </c>
      <c r="I65" s="558">
        <v>0</v>
      </c>
      <c r="J65" s="549" t="s">
        <v>1906</v>
      </c>
      <c r="K65" s="550" t="s">
        <v>20</v>
      </c>
      <c r="L65" s="551">
        <v>780</v>
      </c>
      <c r="M65" s="550">
        <v>0</v>
      </c>
    </row>
    <row r="66" spans="1:13" ht="33.75" customHeight="1" thickTop="1" thickBot="1" x14ac:dyDescent="0.3">
      <c r="A66" s="551" t="s">
        <v>1905</v>
      </c>
      <c r="B66" s="535" t="s">
        <v>1863</v>
      </c>
      <c r="C66" s="551" t="s">
        <v>10</v>
      </c>
      <c r="D66" s="535">
        <v>2</v>
      </c>
      <c r="E66" s="376">
        <v>30</v>
      </c>
      <c r="F66" s="567" t="s">
        <v>297</v>
      </c>
      <c r="G66" s="550">
        <v>3</v>
      </c>
      <c r="H66" s="558">
        <v>829136599</v>
      </c>
      <c r="I66" s="558">
        <v>24000000</v>
      </c>
      <c r="J66" s="549" t="s">
        <v>1907</v>
      </c>
      <c r="K66" s="550" t="s">
        <v>55</v>
      </c>
      <c r="L66" s="551">
        <v>4</v>
      </c>
      <c r="M66" s="550">
        <v>0</v>
      </c>
    </row>
    <row r="67" spans="1:13" ht="37.5" customHeight="1" thickTop="1" thickBot="1" x14ac:dyDescent="0.3">
      <c r="A67" s="551" t="s">
        <v>1905</v>
      </c>
      <c r="B67" s="551" t="s">
        <v>1863</v>
      </c>
      <c r="C67" s="551" t="s">
        <v>42</v>
      </c>
      <c r="D67" s="367">
        <v>2</v>
      </c>
      <c r="E67" s="367">
        <v>30</v>
      </c>
      <c r="F67" s="367" t="s">
        <v>297</v>
      </c>
      <c r="G67" s="367" t="s">
        <v>297</v>
      </c>
      <c r="H67" s="558">
        <v>182480870</v>
      </c>
      <c r="I67" s="558">
        <v>95900000</v>
      </c>
      <c r="J67" s="549" t="s">
        <v>1908</v>
      </c>
      <c r="K67" s="550" t="s">
        <v>46</v>
      </c>
      <c r="L67" s="551">
        <v>2000</v>
      </c>
      <c r="M67" s="551">
        <v>1050</v>
      </c>
    </row>
    <row r="68" spans="1:13" ht="48" customHeight="1" thickTop="1" thickBot="1" x14ac:dyDescent="0.3">
      <c r="A68" s="551" t="s">
        <v>1905</v>
      </c>
      <c r="B68" s="551" t="s">
        <v>1863</v>
      </c>
      <c r="C68" s="551" t="s">
        <v>53</v>
      </c>
      <c r="D68" s="367">
        <v>2</v>
      </c>
      <c r="E68" s="367">
        <v>30</v>
      </c>
      <c r="F68" s="367" t="s">
        <v>297</v>
      </c>
      <c r="G68" s="367" t="s">
        <v>297</v>
      </c>
      <c r="H68" s="558">
        <v>5000000</v>
      </c>
      <c r="I68" s="558">
        <v>4020000</v>
      </c>
      <c r="J68" s="549" t="s">
        <v>2167</v>
      </c>
      <c r="K68" s="550" t="s">
        <v>16</v>
      </c>
      <c r="L68" s="551">
        <v>1</v>
      </c>
      <c r="M68" s="551">
        <v>1</v>
      </c>
    </row>
    <row r="69" spans="1:13" ht="16.5" thickTop="1" thickBot="1" x14ac:dyDescent="0.3"/>
    <row r="70" spans="1:13" ht="30" customHeight="1" thickTop="1" thickBot="1" x14ac:dyDescent="0.3">
      <c r="A70" s="639" t="s">
        <v>1</v>
      </c>
      <c r="B70" s="639" t="s">
        <v>0</v>
      </c>
      <c r="C70" s="639" t="s">
        <v>2569</v>
      </c>
      <c r="D70" s="636" t="s">
        <v>1961</v>
      </c>
      <c r="E70" s="637"/>
      <c r="F70" s="637"/>
      <c r="G70" s="638"/>
      <c r="H70" s="636" t="s">
        <v>3</v>
      </c>
      <c r="I70" s="637"/>
      <c r="J70" s="636" t="s">
        <v>1962</v>
      </c>
      <c r="K70" s="637"/>
      <c r="L70" s="637"/>
      <c r="M70" s="637"/>
    </row>
    <row r="71" spans="1:13" ht="34.5" customHeight="1" thickTop="1" thickBot="1" x14ac:dyDescent="0.3">
      <c r="A71" s="661"/>
      <c r="B71" s="661"/>
      <c r="C71" s="661"/>
      <c r="D71" s="515" t="s">
        <v>4</v>
      </c>
      <c r="E71" s="515" t="s">
        <v>5</v>
      </c>
      <c r="F71" s="515" t="s">
        <v>6</v>
      </c>
      <c r="G71" s="515" t="s">
        <v>7</v>
      </c>
      <c r="H71" s="515" t="s">
        <v>2</v>
      </c>
      <c r="I71" s="515" t="s">
        <v>3</v>
      </c>
      <c r="J71" s="515" t="s">
        <v>8</v>
      </c>
      <c r="K71" s="515" t="s">
        <v>9</v>
      </c>
      <c r="L71" s="515" t="s">
        <v>1963</v>
      </c>
      <c r="M71" s="513" t="s">
        <v>1964</v>
      </c>
    </row>
    <row r="72" spans="1:13" ht="40.5" customHeight="1" thickTop="1" thickBot="1" x14ac:dyDescent="0.3">
      <c r="A72" s="551" t="s">
        <v>1909</v>
      </c>
      <c r="B72" s="551" t="s">
        <v>1863</v>
      </c>
      <c r="C72" s="551" t="s">
        <v>18</v>
      </c>
      <c r="D72" s="551">
        <v>2</v>
      </c>
      <c r="E72" s="551">
        <v>30</v>
      </c>
      <c r="F72" s="551">
        <v>3</v>
      </c>
      <c r="G72" s="551">
        <v>848</v>
      </c>
      <c r="H72" s="558">
        <v>340393886</v>
      </c>
      <c r="I72" s="558">
        <v>135000000</v>
      </c>
      <c r="J72" s="549" t="s">
        <v>1910</v>
      </c>
      <c r="K72" s="550" t="s">
        <v>20</v>
      </c>
      <c r="L72" s="548">
        <v>300</v>
      </c>
      <c r="M72" s="548">
        <v>120</v>
      </c>
    </row>
    <row r="73" spans="1:13" ht="40.5" customHeight="1" thickTop="1" thickBot="1" x14ac:dyDescent="0.3">
      <c r="A73" s="551" t="s">
        <v>1909</v>
      </c>
      <c r="B73" s="551" t="s">
        <v>1863</v>
      </c>
      <c r="C73" s="651" t="s">
        <v>53</v>
      </c>
      <c r="D73" s="551">
        <v>3</v>
      </c>
      <c r="E73" s="551">
        <v>30</v>
      </c>
      <c r="F73" s="551">
        <v>3</v>
      </c>
      <c r="G73" s="551">
        <v>520</v>
      </c>
      <c r="H73" s="558">
        <v>254620586</v>
      </c>
      <c r="I73" s="558">
        <v>0</v>
      </c>
      <c r="J73" s="549" t="s">
        <v>1911</v>
      </c>
      <c r="K73" s="550" t="s">
        <v>55</v>
      </c>
      <c r="L73" s="548">
        <v>4</v>
      </c>
      <c r="M73" s="548">
        <v>0</v>
      </c>
    </row>
    <row r="74" spans="1:13" ht="40.5" customHeight="1" thickTop="1" thickBot="1" x14ac:dyDescent="0.3">
      <c r="A74" s="551" t="s">
        <v>1909</v>
      </c>
      <c r="B74" s="551" t="s">
        <v>1863</v>
      </c>
      <c r="C74" s="652"/>
      <c r="D74" s="551">
        <v>3</v>
      </c>
      <c r="E74" s="551">
        <v>30</v>
      </c>
      <c r="F74" s="551">
        <v>3</v>
      </c>
      <c r="G74" s="551">
        <v>520</v>
      </c>
      <c r="H74" s="558">
        <v>153898482</v>
      </c>
      <c r="I74" s="558">
        <v>89000000</v>
      </c>
      <c r="J74" s="549" t="s">
        <v>1912</v>
      </c>
      <c r="K74" s="550" t="s">
        <v>82</v>
      </c>
      <c r="L74" s="548">
        <v>300</v>
      </c>
      <c r="M74" s="548">
        <v>174</v>
      </c>
    </row>
    <row r="75" spans="1:13" ht="33.75" customHeight="1" thickTop="1" thickBot="1" x14ac:dyDescent="0.3">
      <c r="A75" s="551" t="s">
        <v>1909</v>
      </c>
      <c r="B75" s="551" t="s">
        <v>1863</v>
      </c>
      <c r="C75" s="652"/>
      <c r="D75" s="551">
        <v>3</v>
      </c>
      <c r="E75" s="551">
        <v>30</v>
      </c>
      <c r="F75" s="551">
        <v>3</v>
      </c>
      <c r="G75" s="551">
        <v>520</v>
      </c>
      <c r="H75" s="558">
        <v>40000000</v>
      </c>
      <c r="I75" s="558">
        <v>0</v>
      </c>
      <c r="J75" s="549" t="s">
        <v>1913</v>
      </c>
      <c r="K75" s="550" t="s">
        <v>25</v>
      </c>
      <c r="L75" s="548">
        <v>2</v>
      </c>
      <c r="M75" s="548">
        <v>0</v>
      </c>
    </row>
    <row r="76" spans="1:13" ht="33.75" customHeight="1" thickTop="1" thickBot="1" x14ac:dyDescent="0.3">
      <c r="A76" s="551" t="s">
        <v>1909</v>
      </c>
      <c r="B76" s="551" t="s">
        <v>1863</v>
      </c>
      <c r="C76" s="652"/>
      <c r="D76" s="551">
        <v>3</v>
      </c>
      <c r="E76" s="551">
        <v>30</v>
      </c>
      <c r="F76" s="551">
        <v>3</v>
      </c>
      <c r="G76" s="551">
        <v>520</v>
      </c>
      <c r="H76" s="558">
        <v>137400000</v>
      </c>
      <c r="I76" s="558">
        <v>137400000</v>
      </c>
      <c r="J76" s="549" t="s">
        <v>1914</v>
      </c>
      <c r="K76" s="550" t="s">
        <v>81</v>
      </c>
      <c r="L76" s="548">
        <v>1</v>
      </c>
      <c r="M76" s="548">
        <v>1</v>
      </c>
    </row>
    <row r="77" spans="1:13" ht="33.75" customHeight="1" thickTop="1" thickBot="1" x14ac:dyDescent="0.3">
      <c r="A77" s="551" t="s">
        <v>1909</v>
      </c>
      <c r="B77" s="551" t="s">
        <v>1863</v>
      </c>
      <c r="C77" s="653"/>
      <c r="D77" s="551">
        <v>3</v>
      </c>
      <c r="E77" s="551">
        <v>30</v>
      </c>
      <c r="F77" s="551">
        <v>3</v>
      </c>
      <c r="G77" s="551">
        <v>520</v>
      </c>
      <c r="H77" s="558">
        <v>150000000</v>
      </c>
      <c r="I77" s="558">
        <v>0</v>
      </c>
      <c r="J77" s="549" t="s">
        <v>1915</v>
      </c>
      <c r="K77" s="550" t="s">
        <v>25</v>
      </c>
      <c r="L77" s="548">
        <v>3</v>
      </c>
      <c r="M77" s="548">
        <v>0</v>
      </c>
    </row>
    <row r="78" spans="1:13" ht="72" customHeight="1" thickTop="1" thickBot="1" x14ac:dyDescent="0.3">
      <c r="A78" s="551" t="s">
        <v>1909</v>
      </c>
      <c r="B78" s="551" t="s">
        <v>1863</v>
      </c>
      <c r="C78" s="551" t="s">
        <v>105</v>
      </c>
      <c r="D78" s="551">
        <v>3</v>
      </c>
      <c r="E78" s="551">
        <v>30</v>
      </c>
      <c r="F78" s="551">
        <v>3</v>
      </c>
      <c r="G78" s="551">
        <v>540</v>
      </c>
      <c r="H78" s="558">
        <v>70000000</v>
      </c>
      <c r="I78" s="558">
        <v>66310000</v>
      </c>
      <c r="J78" s="549" t="s">
        <v>1916</v>
      </c>
      <c r="K78" s="550" t="s">
        <v>614</v>
      </c>
      <c r="L78" s="548">
        <v>273</v>
      </c>
      <c r="M78" s="548">
        <v>259</v>
      </c>
    </row>
    <row r="79" spans="1:13" ht="16.5" thickTop="1" thickBot="1" x14ac:dyDescent="0.3"/>
    <row r="80" spans="1:13" ht="30" customHeight="1" thickTop="1" thickBot="1" x14ac:dyDescent="0.3">
      <c r="A80" s="639" t="s">
        <v>1</v>
      </c>
      <c r="B80" s="639" t="s">
        <v>0</v>
      </c>
      <c r="C80" s="639" t="s">
        <v>2569</v>
      </c>
      <c r="D80" s="636" t="s">
        <v>1961</v>
      </c>
      <c r="E80" s="637"/>
      <c r="F80" s="637"/>
      <c r="G80" s="638"/>
      <c r="H80" s="636" t="s">
        <v>3</v>
      </c>
      <c r="I80" s="637"/>
      <c r="J80" s="636" t="s">
        <v>1962</v>
      </c>
      <c r="K80" s="637"/>
      <c r="L80" s="637"/>
      <c r="M80" s="637"/>
    </row>
    <row r="81" spans="1:13" ht="34.5" customHeight="1" thickTop="1" thickBot="1" x14ac:dyDescent="0.3">
      <c r="A81" s="661"/>
      <c r="B81" s="661"/>
      <c r="C81" s="661"/>
      <c r="D81" s="515" t="s">
        <v>4</v>
      </c>
      <c r="E81" s="515" t="s">
        <v>5</v>
      </c>
      <c r="F81" s="515" t="s">
        <v>6</v>
      </c>
      <c r="G81" s="515" t="s">
        <v>7</v>
      </c>
      <c r="H81" s="515" t="s">
        <v>2</v>
      </c>
      <c r="I81" s="515" t="s">
        <v>3</v>
      </c>
      <c r="J81" s="515" t="s">
        <v>8</v>
      </c>
      <c r="K81" s="515" t="s">
        <v>9</v>
      </c>
      <c r="L81" s="515" t="s">
        <v>1963</v>
      </c>
      <c r="M81" s="513" t="s">
        <v>1964</v>
      </c>
    </row>
    <row r="82" spans="1:13" ht="48.75" customHeight="1" thickTop="1" thickBot="1" x14ac:dyDescent="0.3">
      <c r="A82" s="556" t="s">
        <v>1917</v>
      </c>
      <c r="B82" s="551" t="s">
        <v>1863</v>
      </c>
      <c r="C82" s="564" t="s">
        <v>18</v>
      </c>
      <c r="D82" s="565">
        <v>2</v>
      </c>
      <c r="E82" s="565">
        <v>30</v>
      </c>
      <c r="F82" s="565">
        <v>3</v>
      </c>
      <c r="G82" s="565">
        <v>848</v>
      </c>
      <c r="H82" s="558">
        <v>701822702</v>
      </c>
      <c r="I82" s="558">
        <v>0</v>
      </c>
      <c r="J82" s="566" t="s">
        <v>1918</v>
      </c>
      <c r="K82" s="565" t="s">
        <v>20</v>
      </c>
      <c r="L82" s="565">
        <v>140</v>
      </c>
      <c r="M82" s="565">
        <v>0</v>
      </c>
    </row>
    <row r="83" spans="1:13" ht="39.75" customHeight="1" thickTop="1" thickBot="1" x14ac:dyDescent="0.3">
      <c r="A83" s="556" t="s">
        <v>1917</v>
      </c>
      <c r="B83" s="551" t="s">
        <v>1863</v>
      </c>
      <c r="C83" s="726" t="s">
        <v>53</v>
      </c>
      <c r="D83" s="565">
        <v>2</v>
      </c>
      <c r="E83" s="565">
        <v>30</v>
      </c>
      <c r="F83" s="565">
        <v>3</v>
      </c>
      <c r="G83" s="565">
        <v>520</v>
      </c>
      <c r="H83" s="558">
        <f>161092469+41567496</f>
        <v>202659965</v>
      </c>
      <c r="I83" s="558">
        <v>0</v>
      </c>
      <c r="J83" s="566" t="s">
        <v>1919</v>
      </c>
      <c r="K83" s="565" t="s">
        <v>55</v>
      </c>
      <c r="L83" s="565">
        <v>3</v>
      </c>
      <c r="M83" s="565">
        <v>0</v>
      </c>
    </row>
    <row r="84" spans="1:13" ht="39.75" customHeight="1" thickTop="1" thickBot="1" x14ac:dyDescent="0.3">
      <c r="A84" s="556" t="s">
        <v>1917</v>
      </c>
      <c r="B84" s="551" t="s">
        <v>1863</v>
      </c>
      <c r="C84" s="726"/>
      <c r="D84" s="565">
        <v>2</v>
      </c>
      <c r="E84" s="565">
        <v>30</v>
      </c>
      <c r="F84" s="565">
        <v>3</v>
      </c>
      <c r="G84" s="565">
        <v>520</v>
      </c>
      <c r="H84" s="558">
        <v>101830907</v>
      </c>
      <c r="I84" s="558">
        <f t="shared" ref="I84:I89" si="0">H84</f>
        <v>101830907</v>
      </c>
      <c r="J84" s="566" t="s">
        <v>1920</v>
      </c>
      <c r="K84" s="565" t="s">
        <v>55</v>
      </c>
      <c r="L84" s="565">
        <v>1</v>
      </c>
      <c r="M84" s="565">
        <v>0</v>
      </c>
    </row>
    <row r="85" spans="1:13" ht="39.75" customHeight="1" thickTop="1" thickBot="1" x14ac:dyDescent="0.3">
      <c r="A85" s="556" t="s">
        <v>1917</v>
      </c>
      <c r="B85" s="551" t="s">
        <v>1863</v>
      </c>
      <c r="C85" s="726"/>
      <c r="D85" s="565">
        <v>2</v>
      </c>
      <c r="E85" s="565">
        <v>30</v>
      </c>
      <c r="F85" s="565">
        <v>3</v>
      </c>
      <c r="G85" s="565">
        <v>520</v>
      </c>
      <c r="H85" s="558">
        <v>98172527</v>
      </c>
      <c r="I85" s="558">
        <f t="shared" si="0"/>
        <v>98172527</v>
      </c>
      <c r="J85" s="566" t="s">
        <v>1921</v>
      </c>
      <c r="K85" s="565" t="s">
        <v>55</v>
      </c>
      <c r="L85" s="565">
        <v>1</v>
      </c>
      <c r="M85" s="565">
        <v>0</v>
      </c>
    </row>
    <row r="86" spans="1:13" ht="39.75" customHeight="1" thickTop="1" thickBot="1" x14ac:dyDescent="0.3">
      <c r="A86" s="556" t="s">
        <v>1917</v>
      </c>
      <c r="B86" s="551" t="s">
        <v>1863</v>
      </c>
      <c r="C86" s="726"/>
      <c r="D86" s="565">
        <v>2</v>
      </c>
      <c r="E86" s="565">
        <v>30</v>
      </c>
      <c r="F86" s="565">
        <v>3</v>
      </c>
      <c r="G86" s="565">
        <v>520</v>
      </c>
      <c r="H86" s="558">
        <v>110869982</v>
      </c>
      <c r="I86" s="558">
        <f t="shared" si="0"/>
        <v>110869982</v>
      </c>
      <c r="J86" s="566" t="s">
        <v>1922</v>
      </c>
      <c r="K86" s="565" t="s">
        <v>1462</v>
      </c>
      <c r="L86" s="565">
        <v>1</v>
      </c>
      <c r="M86" s="565">
        <v>0</v>
      </c>
    </row>
    <row r="87" spans="1:13" ht="39.75" customHeight="1" thickTop="1" thickBot="1" x14ac:dyDescent="0.3">
      <c r="A87" s="556" t="s">
        <v>1917</v>
      </c>
      <c r="B87" s="551" t="s">
        <v>1863</v>
      </c>
      <c r="C87" s="726"/>
      <c r="D87" s="565">
        <v>2</v>
      </c>
      <c r="E87" s="565">
        <v>30</v>
      </c>
      <c r="F87" s="565">
        <v>3</v>
      </c>
      <c r="G87" s="565">
        <v>520</v>
      </c>
      <c r="H87" s="558">
        <f>482848854-H89-H88-H86-H85-H84</f>
        <v>110869982</v>
      </c>
      <c r="I87" s="558">
        <f t="shared" si="0"/>
        <v>110869982</v>
      </c>
      <c r="J87" s="566" t="s">
        <v>1923</v>
      </c>
      <c r="K87" s="565" t="s">
        <v>1462</v>
      </c>
      <c r="L87" s="565">
        <v>1</v>
      </c>
      <c r="M87" s="565">
        <v>0</v>
      </c>
    </row>
    <row r="88" spans="1:13" ht="35.25" customHeight="1" thickTop="1" thickBot="1" x14ac:dyDescent="0.3">
      <c r="A88" s="556" t="s">
        <v>1917</v>
      </c>
      <c r="B88" s="551" t="s">
        <v>1863</v>
      </c>
      <c r="C88" s="726"/>
      <c r="D88" s="565">
        <v>2</v>
      </c>
      <c r="E88" s="565">
        <v>30</v>
      </c>
      <c r="F88" s="565">
        <v>3</v>
      </c>
      <c r="G88" s="565">
        <v>520</v>
      </c>
      <c r="H88" s="558">
        <v>30458744</v>
      </c>
      <c r="I88" s="558">
        <f t="shared" si="0"/>
        <v>30458744</v>
      </c>
      <c r="J88" s="566" t="s">
        <v>1924</v>
      </c>
      <c r="K88" s="565" t="s">
        <v>25</v>
      </c>
      <c r="L88" s="565">
        <v>1</v>
      </c>
      <c r="M88" s="565">
        <v>0</v>
      </c>
    </row>
    <row r="89" spans="1:13" ht="35.25" customHeight="1" thickTop="1" thickBot="1" x14ac:dyDescent="0.3">
      <c r="A89" s="556" t="s">
        <v>1917</v>
      </c>
      <c r="B89" s="551" t="s">
        <v>1863</v>
      </c>
      <c r="C89" s="726"/>
      <c r="D89" s="565">
        <v>2</v>
      </c>
      <c r="E89" s="565">
        <v>30</v>
      </c>
      <c r="F89" s="565">
        <v>3</v>
      </c>
      <c r="G89" s="565">
        <v>520</v>
      </c>
      <c r="H89" s="558">
        <v>30646712</v>
      </c>
      <c r="I89" s="558">
        <f t="shared" si="0"/>
        <v>30646712</v>
      </c>
      <c r="J89" s="566" t="s">
        <v>1925</v>
      </c>
      <c r="K89" s="565" t="s">
        <v>25</v>
      </c>
      <c r="L89" s="565">
        <v>1</v>
      </c>
      <c r="M89" s="565">
        <v>0</v>
      </c>
    </row>
    <row r="90" spans="1:13" ht="15.75" thickTop="1" x14ac:dyDescent="0.25"/>
  </sheetData>
  <mergeCells count="54">
    <mergeCell ref="H29:I29"/>
    <mergeCell ref="J29:M29"/>
    <mergeCell ref="H52:I52"/>
    <mergeCell ref="J52:M52"/>
    <mergeCell ref="H5:I5"/>
    <mergeCell ref="J5:M5"/>
    <mergeCell ref="H14:I14"/>
    <mergeCell ref="J14:M14"/>
    <mergeCell ref="H21:I21"/>
    <mergeCell ref="J21:M21"/>
    <mergeCell ref="C14:C15"/>
    <mergeCell ref="D14:G14"/>
    <mergeCell ref="C8:C9"/>
    <mergeCell ref="B5:B6"/>
    <mergeCell ref="C5:C6"/>
    <mergeCell ref="D5:G5"/>
    <mergeCell ref="D21:G21"/>
    <mergeCell ref="C24:C27"/>
    <mergeCell ref="B29:B30"/>
    <mergeCell ref="C29:C30"/>
    <mergeCell ref="D29:G29"/>
    <mergeCell ref="J63:M63"/>
    <mergeCell ref="H63:I63"/>
    <mergeCell ref="B52:B53"/>
    <mergeCell ref="C52:C53"/>
    <mergeCell ref="D52:G52"/>
    <mergeCell ref="C55:C61"/>
    <mergeCell ref="B63:B64"/>
    <mergeCell ref="C63:C64"/>
    <mergeCell ref="D63:G63"/>
    <mergeCell ref="D80:G80"/>
    <mergeCell ref="H80:I80"/>
    <mergeCell ref="J80:M80"/>
    <mergeCell ref="B70:B71"/>
    <mergeCell ref="C70:C71"/>
    <mergeCell ref="D70:G70"/>
    <mergeCell ref="H70:I70"/>
    <mergeCell ref="J70:M70"/>
    <mergeCell ref="C83:C89"/>
    <mergeCell ref="C17:C19"/>
    <mergeCell ref="C73:C77"/>
    <mergeCell ref="A5:A6"/>
    <mergeCell ref="A14:A15"/>
    <mergeCell ref="A21:A22"/>
    <mergeCell ref="A29:A30"/>
    <mergeCell ref="A52:A53"/>
    <mergeCell ref="A63:A64"/>
    <mergeCell ref="A70:A71"/>
    <mergeCell ref="A80:A81"/>
    <mergeCell ref="B80:B81"/>
    <mergeCell ref="C80:C81"/>
    <mergeCell ref="B21:B22"/>
    <mergeCell ref="C21:C22"/>
    <mergeCell ref="B14:B15"/>
  </mergeCells>
  <pageMargins left="0.7" right="0.7" top="0.75" bottom="0.75" header="0.3" footer="0.3"/>
  <pageSetup paperSize="9" orientation="portrait" verticalDpi="0" r:id="rId1"/>
  <ignoredErrors>
    <ignoredError sqref="F65:F66 F67:F68 G67:G68"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4"/>
  <sheetViews>
    <sheetView showGridLines="0" zoomScaleNormal="100" workbookViewId="0">
      <selection activeCell="C5" sqref="C5:C6"/>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2.42578125" customWidth="1"/>
    <col min="11" max="11" width="12.140625" customWidth="1"/>
    <col min="12" max="13" width="15.140625" customWidth="1"/>
  </cols>
  <sheetData>
    <row r="4" spans="1:13" ht="15.75" thickBot="1" x14ac:dyDescent="0.3"/>
    <row r="5" spans="1:13" s="204" customFormat="1" ht="30" customHeight="1" thickTop="1" thickBot="1" x14ac:dyDescent="0.3">
      <c r="A5" s="639" t="s">
        <v>0</v>
      </c>
      <c r="B5" s="639" t="s">
        <v>1</v>
      </c>
      <c r="C5" s="639" t="s">
        <v>2569</v>
      </c>
      <c r="D5" s="636" t="s">
        <v>1961</v>
      </c>
      <c r="E5" s="637"/>
      <c r="F5" s="637"/>
      <c r="G5" s="638"/>
      <c r="H5" s="636" t="s">
        <v>3</v>
      </c>
      <c r="I5" s="637"/>
      <c r="J5" s="636" t="s">
        <v>1962</v>
      </c>
      <c r="K5" s="637"/>
      <c r="L5" s="637"/>
      <c r="M5" s="637"/>
    </row>
    <row r="6" spans="1:13" s="204" customFormat="1" ht="34.5" customHeight="1" thickTop="1" thickBot="1" x14ac:dyDescent="0.3">
      <c r="A6" s="661"/>
      <c r="B6" s="661"/>
      <c r="C6" s="661"/>
      <c r="D6" s="547" t="s">
        <v>4</v>
      </c>
      <c r="E6" s="547" t="s">
        <v>5</v>
      </c>
      <c r="F6" s="547" t="s">
        <v>6</v>
      </c>
      <c r="G6" s="547" t="s">
        <v>7</v>
      </c>
      <c r="H6" s="547" t="s">
        <v>2</v>
      </c>
      <c r="I6" s="547" t="s">
        <v>3</v>
      </c>
      <c r="J6" s="547" t="s">
        <v>8</v>
      </c>
      <c r="K6" s="547" t="s">
        <v>9</v>
      </c>
      <c r="L6" s="547" t="s">
        <v>1963</v>
      </c>
      <c r="M6" s="513" t="s">
        <v>1964</v>
      </c>
    </row>
    <row r="7" spans="1:13" s="205" customFormat="1" ht="54" customHeight="1" thickTop="1" thickBot="1" x14ac:dyDescent="0.3">
      <c r="A7" s="551" t="s">
        <v>2567</v>
      </c>
      <c r="B7" s="551" t="s">
        <v>2568</v>
      </c>
      <c r="C7" s="654" t="s">
        <v>18</v>
      </c>
      <c r="D7" s="654">
        <v>2</v>
      </c>
      <c r="E7" s="655">
        <v>30</v>
      </c>
      <c r="F7" s="655">
        <v>3</v>
      </c>
      <c r="G7" s="655">
        <v>848</v>
      </c>
      <c r="H7" s="666">
        <v>1121426542</v>
      </c>
      <c r="I7" s="666">
        <v>0</v>
      </c>
      <c r="J7" s="549" t="s">
        <v>1463</v>
      </c>
      <c r="K7" s="550" t="s">
        <v>20</v>
      </c>
      <c r="L7" s="548">
        <v>420</v>
      </c>
      <c r="M7" s="548">
        <v>0</v>
      </c>
    </row>
    <row r="8" spans="1:13" s="205" customFormat="1" ht="36.75" customHeight="1" thickTop="1" thickBot="1" x14ac:dyDescent="0.3">
      <c r="A8" s="628" t="s">
        <v>2567</v>
      </c>
      <c r="B8" s="628" t="s">
        <v>2568</v>
      </c>
      <c r="C8" s="654"/>
      <c r="D8" s="654"/>
      <c r="E8" s="655"/>
      <c r="F8" s="655"/>
      <c r="G8" s="655"/>
      <c r="H8" s="666"/>
      <c r="I8" s="666"/>
      <c r="J8" s="549" t="s">
        <v>1464</v>
      </c>
      <c r="K8" s="550" t="s">
        <v>75</v>
      </c>
      <c r="L8" s="548">
        <v>15000</v>
      </c>
      <c r="M8" s="550">
        <v>0</v>
      </c>
    </row>
    <row r="9" spans="1:13" s="205" customFormat="1" ht="45.75" customHeight="1" thickTop="1" thickBot="1" x14ac:dyDescent="0.3">
      <c r="A9" s="628" t="s">
        <v>2567</v>
      </c>
      <c r="B9" s="628" t="s">
        <v>2568</v>
      </c>
      <c r="C9" s="551" t="s">
        <v>300</v>
      </c>
      <c r="D9" s="551">
        <v>2</v>
      </c>
      <c r="E9" s="551">
        <v>30</v>
      </c>
      <c r="F9" s="551">
        <v>3</v>
      </c>
      <c r="G9" s="551">
        <v>520</v>
      </c>
      <c r="H9" s="553">
        <v>2113486768</v>
      </c>
      <c r="I9" s="553">
        <v>0</v>
      </c>
      <c r="J9" s="549" t="s">
        <v>1465</v>
      </c>
      <c r="K9" s="550" t="s">
        <v>55</v>
      </c>
      <c r="L9" s="548">
        <v>25</v>
      </c>
      <c r="M9" s="548">
        <v>0</v>
      </c>
    </row>
    <row r="10" spans="1:13" s="205" customFormat="1" ht="41.25" customHeight="1" thickTop="1" thickBot="1" x14ac:dyDescent="0.3">
      <c r="A10" s="628" t="s">
        <v>2567</v>
      </c>
      <c r="B10" s="628" t="s">
        <v>2568</v>
      </c>
      <c r="C10" s="551" t="s">
        <v>105</v>
      </c>
      <c r="D10" s="551">
        <v>2</v>
      </c>
      <c r="E10" s="551">
        <v>30</v>
      </c>
      <c r="F10" s="551">
        <v>3</v>
      </c>
      <c r="G10" s="551">
        <v>540</v>
      </c>
      <c r="H10" s="553">
        <v>500000000</v>
      </c>
      <c r="I10" s="553">
        <v>0</v>
      </c>
      <c r="J10" s="549" t="s">
        <v>1466</v>
      </c>
      <c r="K10" s="459" t="s">
        <v>383</v>
      </c>
      <c r="L10" s="548">
        <v>5</v>
      </c>
      <c r="M10" s="548">
        <v>0</v>
      </c>
    </row>
    <row r="11" spans="1:13" s="206" customFormat="1" ht="14.25" customHeight="1" thickTop="1" thickBot="1" x14ac:dyDescent="0.3">
      <c r="A11" s="436"/>
      <c r="B11" s="568"/>
      <c r="C11" s="158"/>
      <c r="D11" s="158"/>
      <c r="E11" s="158"/>
      <c r="F11" s="158"/>
      <c r="G11" s="158"/>
      <c r="H11" s="236"/>
      <c r="I11" s="236"/>
      <c r="J11" s="165"/>
      <c r="K11" s="165"/>
      <c r="L11" s="164"/>
      <c r="M11" s="164"/>
    </row>
    <row r="12" spans="1:13" s="204" customFormat="1" ht="30" customHeight="1" thickTop="1" thickBot="1" x14ac:dyDescent="0.3">
      <c r="A12" s="639" t="s">
        <v>0</v>
      </c>
      <c r="B12" s="639" t="s">
        <v>1</v>
      </c>
      <c r="C12" s="639" t="s">
        <v>2569</v>
      </c>
      <c r="D12" s="636" t="s">
        <v>1961</v>
      </c>
      <c r="E12" s="637"/>
      <c r="F12" s="637"/>
      <c r="G12" s="638"/>
      <c r="H12" s="636" t="s">
        <v>3</v>
      </c>
      <c r="I12" s="637"/>
      <c r="J12" s="636" t="s">
        <v>1962</v>
      </c>
      <c r="K12" s="637"/>
      <c r="L12" s="637"/>
      <c r="M12" s="637"/>
    </row>
    <row r="13" spans="1:13" s="204" customFormat="1" ht="34.5" customHeight="1" thickTop="1" thickBot="1" x14ac:dyDescent="0.3">
      <c r="A13" s="661"/>
      <c r="B13" s="661"/>
      <c r="C13" s="661"/>
      <c r="D13" s="547" t="s">
        <v>4</v>
      </c>
      <c r="E13" s="547" t="s">
        <v>5</v>
      </c>
      <c r="F13" s="547" t="s">
        <v>6</v>
      </c>
      <c r="G13" s="547" t="s">
        <v>7</v>
      </c>
      <c r="H13" s="547" t="s">
        <v>2</v>
      </c>
      <c r="I13" s="547" t="s">
        <v>3</v>
      </c>
      <c r="J13" s="547" t="s">
        <v>8</v>
      </c>
      <c r="K13" s="547" t="s">
        <v>9</v>
      </c>
      <c r="L13" s="547" t="s">
        <v>1963</v>
      </c>
      <c r="M13" s="513" t="s">
        <v>1964</v>
      </c>
    </row>
    <row r="14" spans="1:13" s="205" customFormat="1" ht="43.5" customHeight="1" thickTop="1" thickBot="1" x14ac:dyDescent="0.3">
      <c r="A14" s="551" t="s">
        <v>1489</v>
      </c>
      <c r="B14" s="628" t="s">
        <v>2568</v>
      </c>
      <c r="C14" s="551" t="s">
        <v>18</v>
      </c>
      <c r="D14" s="550">
        <v>2</v>
      </c>
      <c r="E14" s="550">
        <v>30</v>
      </c>
      <c r="F14" s="550">
        <v>3</v>
      </c>
      <c r="G14" s="550">
        <v>848</v>
      </c>
      <c r="H14" s="553">
        <v>748042700</v>
      </c>
      <c r="I14" s="553">
        <v>7132625</v>
      </c>
      <c r="J14" s="549" t="s">
        <v>1467</v>
      </c>
      <c r="K14" s="550" t="s">
        <v>20</v>
      </c>
      <c r="L14" s="548">
        <v>1800</v>
      </c>
      <c r="M14" s="548">
        <v>200</v>
      </c>
    </row>
    <row r="15" spans="1:13" s="205" customFormat="1" ht="36" customHeight="1" thickTop="1" thickBot="1" x14ac:dyDescent="0.3">
      <c r="A15" s="551" t="s">
        <v>1489</v>
      </c>
      <c r="B15" s="628" t="s">
        <v>2568</v>
      </c>
      <c r="C15" s="654" t="s">
        <v>300</v>
      </c>
      <c r="D15" s="550">
        <v>2</v>
      </c>
      <c r="E15" s="550">
        <v>30</v>
      </c>
      <c r="F15" s="550">
        <v>3</v>
      </c>
      <c r="G15" s="550">
        <v>520</v>
      </c>
      <c r="H15" s="553">
        <v>1200000000</v>
      </c>
      <c r="I15" s="553">
        <v>633512825</v>
      </c>
      <c r="J15" s="549" t="s">
        <v>1468</v>
      </c>
      <c r="K15" s="550" t="s">
        <v>55</v>
      </c>
      <c r="L15" s="548">
        <v>10</v>
      </c>
      <c r="M15" s="548">
        <v>9</v>
      </c>
    </row>
    <row r="16" spans="1:13" s="205" customFormat="1" ht="36" customHeight="1" thickTop="1" thickBot="1" x14ac:dyDescent="0.3">
      <c r="A16" s="551" t="s">
        <v>1489</v>
      </c>
      <c r="B16" s="628" t="s">
        <v>2568</v>
      </c>
      <c r="C16" s="654"/>
      <c r="D16" s="550">
        <v>2</v>
      </c>
      <c r="E16" s="550">
        <v>30</v>
      </c>
      <c r="F16" s="550">
        <v>3</v>
      </c>
      <c r="G16" s="550">
        <v>520</v>
      </c>
      <c r="H16" s="553">
        <v>46737833</v>
      </c>
      <c r="I16" s="553">
        <v>0</v>
      </c>
      <c r="J16" s="549" t="s">
        <v>1469</v>
      </c>
      <c r="K16" s="550" t="s">
        <v>13</v>
      </c>
      <c r="L16" s="548">
        <v>2</v>
      </c>
      <c r="M16" s="548">
        <v>0</v>
      </c>
    </row>
    <row r="17" spans="1:13" s="205" customFormat="1" ht="43.5" customHeight="1" thickTop="1" thickBot="1" x14ac:dyDescent="0.3">
      <c r="A17" s="551" t="s">
        <v>1489</v>
      </c>
      <c r="B17" s="628" t="s">
        <v>2568</v>
      </c>
      <c r="C17" s="654" t="s">
        <v>1470</v>
      </c>
      <c r="D17" s="550">
        <v>2</v>
      </c>
      <c r="E17" s="550">
        <v>30</v>
      </c>
      <c r="F17" s="550">
        <v>3</v>
      </c>
      <c r="G17" s="550">
        <v>530</v>
      </c>
      <c r="H17" s="553">
        <f>10*3000000</f>
        <v>30000000</v>
      </c>
      <c r="I17" s="553">
        <v>0</v>
      </c>
      <c r="J17" s="549" t="s">
        <v>1471</v>
      </c>
      <c r="K17" s="550" t="s">
        <v>1472</v>
      </c>
      <c r="L17" s="548">
        <v>3</v>
      </c>
      <c r="M17" s="548">
        <v>0</v>
      </c>
    </row>
    <row r="18" spans="1:13" s="205" customFormat="1" ht="43.5" customHeight="1" thickTop="1" thickBot="1" x14ac:dyDescent="0.3">
      <c r="A18" s="551" t="s">
        <v>1489</v>
      </c>
      <c r="B18" s="628" t="s">
        <v>2568</v>
      </c>
      <c r="C18" s="654"/>
      <c r="D18" s="550">
        <v>2</v>
      </c>
      <c r="E18" s="550">
        <v>30</v>
      </c>
      <c r="F18" s="550">
        <v>3</v>
      </c>
      <c r="G18" s="550">
        <v>530</v>
      </c>
      <c r="H18" s="553">
        <v>25000000</v>
      </c>
      <c r="I18" s="553">
        <v>0</v>
      </c>
      <c r="J18" s="549" t="s">
        <v>1473</v>
      </c>
      <c r="K18" s="550" t="s">
        <v>1474</v>
      </c>
      <c r="L18" s="548">
        <v>3</v>
      </c>
      <c r="M18" s="548">
        <v>0</v>
      </c>
    </row>
    <row r="19" spans="1:13" s="205" customFormat="1" ht="43.5" customHeight="1" thickTop="1" thickBot="1" x14ac:dyDescent="0.3">
      <c r="A19" s="551" t="s">
        <v>1489</v>
      </c>
      <c r="B19" s="628" t="s">
        <v>2568</v>
      </c>
      <c r="C19" s="654"/>
      <c r="D19" s="550">
        <v>2</v>
      </c>
      <c r="E19" s="550">
        <v>30</v>
      </c>
      <c r="F19" s="550">
        <v>3</v>
      </c>
      <c r="G19" s="550">
        <v>540</v>
      </c>
      <c r="H19" s="553">
        <v>100000000</v>
      </c>
      <c r="I19" s="553">
        <v>28350000</v>
      </c>
      <c r="J19" s="549" t="s">
        <v>1475</v>
      </c>
      <c r="K19" s="550" t="s">
        <v>604</v>
      </c>
      <c r="L19" s="548">
        <v>400</v>
      </c>
      <c r="M19" s="548">
        <v>150</v>
      </c>
    </row>
    <row r="20" spans="1:13" s="205" customFormat="1" ht="43.5" customHeight="1" thickTop="1" thickBot="1" x14ac:dyDescent="0.3">
      <c r="A20" s="551" t="s">
        <v>1489</v>
      </c>
      <c r="B20" s="628" t="s">
        <v>2568</v>
      </c>
      <c r="C20" s="654"/>
      <c r="D20" s="548">
        <v>2</v>
      </c>
      <c r="E20" s="548">
        <v>30</v>
      </c>
      <c r="F20" s="548">
        <v>3</v>
      </c>
      <c r="G20" s="548">
        <v>540</v>
      </c>
      <c r="H20" s="553">
        <v>79347567</v>
      </c>
      <c r="I20" s="553">
        <v>0</v>
      </c>
      <c r="J20" s="549" t="s">
        <v>1476</v>
      </c>
      <c r="K20" s="459" t="s">
        <v>383</v>
      </c>
      <c r="L20" s="548">
        <v>31</v>
      </c>
      <c r="M20" s="548">
        <v>0</v>
      </c>
    </row>
    <row r="21" spans="1:13" s="205" customFormat="1" ht="43.5" customHeight="1" thickTop="1" thickBot="1" x14ac:dyDescent="0.3">
      <c r="A21" s="551" t="s">
        <v>1489</v>
      </c>
      <c r="B21" s="628" t="s">
        <v>2568</v>
      </c>
      <c r="C21" s="654"/>
      <c r="D21" s="548">
        <v>2</v>
      </c>
      <c r="E21" s="548">
        <v>30</v>
      </c>
      <c r="F21" s="548">
        <v>3</v>
      </c>
      <c r="G21" s="548">
        <v>540</v>
      </c>
      <c r="H21" s="553">
        <v>20000000</v>
      </c>
      <c r="I21" s="553">
        <v>0</v>
      </c>
      <c r="J21" s="549" t="s">
        <v>1477</v>
      </c>
      <c r="K21" s="550" t="s">
        <v>1478</v>
      </c>
      <c r="L21" s="548">
        <v>26</v>
      </c>
      <c r="M21" s="548">
        <v>0</v>
      </c>
    </row>
    <row r="22" spans="1:13" s="205" customFormat="1" ht="43.5" customHeight="1" thickTop="1" thickBot="1" x14ac:dyDescent="0.3">
      <c r="A22" s="551" t="s">
        <v>1489</v>
      </c>
      <c r="B22" s="628" t="s">
        <v>2568</v>
      </c>
      <c r="C22" s="654"/>
      <c r="D22" s="548">
        <v>2</v>
      </c>
      <c r="E22" s="548">
        <v>30</v>
      </c>
      <c r="F22" s="548">
        <v>3</v>
      </c>
      <c r="G22" s="548">
        <v>540</v>
      </c>
      <c r="H22" s="553">
        <v>25000000</v>
      </c>
      <c r="I22" s="553">
        <v>0</v>
      </c>
      <c r="J22" s="549" t="s">
        <v>1479</v>
      </c>
      <c r="K22" s="550" t="s">
        <v>1480</v>
      </c>
      <c r="L22" s="548">
        <v>25</v>
      </c>
      <c r="M22" s="548">
        <v>0</v>
      </c>
    </row>
    <row r="23" spans="1:13" s="205" customFormat="1" ht="43.5" customHeight="1" thickTop="1" thickBot="1" x14ac:dyDescent="0.3">
      <c r="A23" s="551" t="s">
        <v>1489</v>
      </c>
      <c r="B23" s="628" t="s">
        <v>2568</v>
      </c>
      <c r="C23" s="654"/>
      <c r="D23" s="548">
        <v>2</v>
      </c>
      <c r="E23" s="548">
        <v>30</v>
      </c>
      <c r="F23" s="548">
        <v>3</v>
      </c>
      <c r="G23" s="548">
        <v>540</v>
      </c>
      <c r="H23" s="553">
        <v>25000000</v>
      </c>
      <c r="I23" s="553">
        <v>0</v>
      </c>
      <c r="J23" s="549" t="s">
        <v>1481</v>
      </c>
      <c r="K23" s="550" t="s">
        <v>2170</v>
      </c>
      <c r="L23" s="548">
        <v>80</v>
      </c>
      <c r="M23" s="548">
        <v>0</v>
      </c>
    </row>
    <row r="24" spans="1:13" s="205" customFormat="1" ht="43.5" customHeight="1" thickTop="1" thickBot="1" x14ac:dyDescent="0.3">
      <c r="A24" s="551" t="s">
        <v>1489</v>
      </c>
      <c r="B24" s="628" t="s">
        <v>2568</v>
      </c>
      <c r="C24" s="654"/>
      <c r="D24" s="548">
        <v>2</v>
      </c>
      <c r="E24" s="548">
        <v>30</v>
      </c>
      <c r="F24" s="548">
        <v>3</v>
      </c>
      <c r="G24" s="548">
        <v>530</v>
      </c>
      <c r="H24" s="553">
        <v>60000000</v>
      </c>
      <c r="I24" s="553">
        <v>0</v>
      </c>
      <c r="J24" s="549" t="s">
        <v>1482</v>
      </c>
      <c r="K24" s="334" t="s">
        <v>2158</v>
      </c>
      <c r="L24" s="548">
        <v>10</v>
      </c>
      <c r="M24" s="548">
        <v>0</v>
      </c>
    </row>
    <row r="25" spans="1:13" s="205" customFormat="1" ht="43.5" customHeight="1" thickTop="1" thickBot="1" x14ac:dyDescent="0.3">
      <c r="A25" s="551" t="s">
        <v>1489</v>
      </c>
      <c r="B25" s="628" t="s">
        <v>2568</v>
      </c>
      <c r="C25" s="654"/>
      <c r="D25" s="548">
        <v>2</v>
      </c>
      <c r="E25" s="548">
        <v>30</v>
      </c>
      <c r="F25" s="548">
        <v>3</v>
      </c>
      <c r="G25" s="548">
        <v>530</v>
      </c>
      <c r="H25" s="553">
        <v>60000000</v>
      </c>
      <c r="I25" s="553">
        <v>0</v>
      </c>
      <c r="J25" s="549" t="s">
        <v>1483</v>
      </c>
      <c r="K25" s="550" t="s">
        <v>1484</v>
      </c>
      <c r="L25" s="548">
        <v>10</v>
      </c>
      <c r="M25" s="548">
        <v>0</v>
      </c>
    </row>
    <row r="26" spans="1:13" s="205" customFormat="1" ht="43.5" customHeight="1" thickTop="1" thickBot="1" x14ac:dyDescent="0.3">
      <c r="A26" s="551" t="s">
        <v>1489</v>
      </c>
      <c r="B26" s="628" t="s">
        <v>2568</v>
      </c>
      <c r="C26" s="654"/>
      <c r="D26" s="548">
        <v>2</v>
      </c>
      <c r="E26" s="548">
        <v>30</v>
      </c>
      <c r="F26" s="548">
        <v>3</v>
      </c>
      <c r="G26" s="548">
        <v>530</v>
      </c>
      <c r="H26" s="553">
        <v>74347567</v>
      </c>
      <c r="I26" s="553">
        <v>0</v>
      </c>
      <c r="J26" s="549" t="s">
        <v>1485</v>
      </c>
      <c r="K26" s="550" t="s">
        <v>180</v>
      </c>
      <c r="L26" s="548">
        <v>20</v>
      </c>
      <c r="M26" s="548">
        <v>0</v>
      </c>
    </row>
    <row r="27" spans="1:13" s="206" customFormat="1" ht="16.5" customHeight="1" thickTop="1" thickBot="1" x14ac:dyDescent="0.3">
      <c r="A27" s="436"/>
      <c r="B27" s="568"/>
      <c r="C27" s="436"/>
      <c r="D27" s="569"/>
      <c r="E27" s="569"/>
      <c r="F27" s="569"/>
      <c r="G27" s="569"/>
      <c r="H27" s="570"/>
      <c r="I27" s="569"/>
      <c r="J27" s="571"/>
      <c r="K27" s="571"/>
      <c r="L27" s="569"/>
      <c r="M27" s="569"/>
    </row>
    <row r="28" spans="1:13" s="204" customFormat="1" ht="30" customHeight="1" thickTop="1" thickBot="1" x14ac:dyDescent="0.3">
      <c r="A28" s="639" t="s">
        <v>0</v>
      </c>
      <c r="B28" s="639" t="s">
        <v>1</v>
      </c>
      <c r="C28" s="639" t="s">
        <v>2569</v>
      </c>
      <c r="D28" s="636" t="s">
        <v>1961</v>
      </c>
      <c r="E28" s="637"/>
      <c r="F28" s="637"/>
      <c r="G28" s="638"/>
      <c r="H28" s="636" t="s">
        <v>3</v>
      </c>
      <c r="I28" s="637"/>
      <c r="J28" s="636" t="s">
        <v>1962</v>
      </c>
      <c r="K28" s="637"/>
      <c r="L28" s="637"/>
      <c r="M28" s="637"/>
    </row>
    <row r="29" spans="1:13" s="204" customFormat="1" ht="34.5" customHeight="1" thickTop="1" thickBot="1" x14ac:dyDescent="0.3">
      <c r="A29" s="661"/>
      <c r="B29" s="661"/>
      <c r="C29" s="661"/>
      <c r="D29" s="547" t="s">
        <v>4</v>
      </c>
      <c r="E29" s="547" t="s">
        <v>5</v>
      </c>
      <c r="F29" s="547" t="s">
        <v>6</v>
      </c>
      <c r="G29" s="547" t="s">
        <v>7</v>
      </c>
      <c r="H29" s="547" t="s">
        <v>2</v>
      </c>
      <c r="I29" s="547" t="s">
        <v>3</v>
      </c>
      <c r="J29" s="547" t="s">
        <v>8</v>
      </c>
      <c r="K29" s="547" t="s">
        <v>9</v>
      </c>
      <c r="L29" s="547" t="s">
        <v>1963</v>
      </c>
      <c r="M29" s="513" t="s">
        <v>1964</v>
      </c>
    </row>
    <row r="30" spans="1:13" s="205" customFormat="1" ht="45.75" customHeight="1" thickTop="1" thickBot="1" x14ac:dyDescent="0.3">
      <c r="A30" s="551" t="s">
        <v>1490</v>
      </c>
      <c r="B30" s="628" t="s">
        <v>2568</v>
      </c>
      <c r="C30" s="551" t="s">
        <v>18</v>
      </c>
      <c r="D30" s="551">
        <v>2</v>
      </c>
      <c r="E30" s="551">
        <v>30</v>
      </c>
      <c r="F30" s="551">
        <v>3</v>
      </c>
      <c r="G30" s="551">
        <v>848</v>
      </c>
      <c r="H30" s="553">
        <v>650379758</v>
      </c>
      <c r="I30" s="553">
        <v>146962548</v>
      </c>
      <c r="J30" s="549" t="s">
        <v>1486</v>
      </c>
      <c r="K30" s="550" t="s">
        <v>20</v>
      </c>
      <c r="L30" s="297">
        <v>3500</v>
      </c>
      <c r="M30" s="297">
        <v>630</v>
      </c>
    </row>
    <row r="31" spans="1:13" s="205" customFormat="1" ht="37.5" customHeight="1" thickTop="1" thickBot="1" x14ac:dyDescent="0.3">
      <c r="A31" s="551" t="s">
        <v>1490</v>
      </c>
      <c r="B31" s="628" t="s">
        <v>2568</v>
      </c>
      <c r="C31" s="654" t="s">
        <v>53</v>
      </c>
      <c r="D31" s="551">
        <v>2</v>
      </c>
      <c r="E31" s="551">
        <v>30</v>
      </c>
      <c r="F31" s="551">
        <v>3</v>
      </c>
      <c r="G31" s="551">
        <v>520</v>
      </c>
      <c r="H31" s="553">
        <v>1417552769</v>
      </c>
      <c r="I31" s="553">
        <v>177706473</v>
      </c>
      <c r="J31" s="549" t="s">
        <v>1487</v>
      </c>
      <c r="K31" s="550" t="s">
        <v>1462</v>
      </c>
      <c r="L31" s="297">
        <v>5</v>
      </c>
      <c r="M31" s="297">
        <v>2</v>
      </c>
    </row>
    <row r="32" spans="1:13" s="205" customFormat="1" ht="37.5" customHeight="1" thickTop="1" thickBot="1" x14ac:dyDescent="0.3">
      <c r="A32" s="551" t="s">
        <v>1490</v>
      </c>
      <c r="B32" s="628" t="s">
        <v>2568</v>
      </c>
      <c r="C32" s="654"/>
      <c r="D32" s="551">
        <v>2</v>
      </c>
      <c r="E32" s="551">
        <v>30</v>
      </c>
      <c r="F32" s="551">
        <v>3</v>
      </c>
      <c r="G32" s="551">
        <v>520</v>
      </c>
      <c r="H32" s="553" t="s">
        <v>123</v>
      </c>
      <c r="I32" s="553">
        <v>0</v>
      </c>
      <c r="J32" s="549" t="s">
        <v>1488</v>
      </c>
      <c r="K32" s="550" t="s">
        <v>55</v>
      </c>
      <c r="L32" s="297">
        <v>5</v>
      </c>
      <c r="M32" s="297">
        <v>0</v>
      </c>
    </row>
    <row r="33" spans="1:13" s="205" customFormat="1" ht="45.75" customHeight="1" thickTop="1" thickBot="1" x14ac:dyDescent="0.3">
      <c r="A33" s="551" t="s">
        <v>1490</v>
      </c>
      <c r="B33" s="628" t="s">
        <v>2568</v>
      </c>
      <c r="C33" s="551" t="s">
        <v>105</v>
      </c>
      <c r="D33" s="551">
        <v>2</v>
      </c>
      <c r="E33" s="551">
        <v>30</v>
      </c>
      <c r="F33" s="551">
        <v>3</v>
      </c>
      <c r="G33" s="551">
        <v>540</v>
      </c>
      <c r="H33" s="553">
        <v>100000000</v>
      </c>
      <c r="I33" s="553">
        <v>0</v>
      </c>
      <c r="J33" s="549" t="s">
        <v>2169</v>
      </c>
      <c r="K33" s="459" t="s">
        <v>383</v>
      </c>
      <c r="L33" s="297">
        <v>20</v>
      </c>
      <c r="M33" s="297">
        <v>0</v>
      </c>
    </row>
    <row r="34" spans="1:13" ht="15.75" thickTop="1" x14ac:dyDescent="0.25"/>
  </sheetData>
  <mergeCells count="28">
    <mergeCell ref="G7:G8"/>
    <mergeCell ref="B5:B6"/>
    <mergeCell ref="C5:C6"/>
    <mergeCell ref="D5:G5"/>
    <mergeCell ref="B28:B29"/>
    <mergeCell ref="C28:C29"/>
    <mergeCell ref="D28:G28"/>
    <mergeCell ref="C31:C32"/>
    <mergeCell ref="C7:C8"/>
    <mergeCell ref="D7:D8"/>
    <mergeCell ref="E7:E8"/>
    <mergeCell ref="F7:F8"/>
    <mergeCell ref="A5:A6"/>
    <mergeCell ref="A12:A13"/>
    <mergeCell ref="A28:A29"/>
    <mergeCell ref="H5:I5"/>
    <mergeCell ref="J5:M5"/>
    <mergeCell ref="H12:I12"/>
    <mergeCell ref="J12:M12"/>
    <mergeCell ref="H28:I28"/>
    <mergeCell ref="J28:M28"/>
    <mergeCell ref="B12:B13"/>
    <mergeCell ref="C12:C13"/>
    <mergeCell ref="D12:G12"/>
    <mergeCell ref="H7:H8"/>
    <mergeCell ref="I7:I8"/>
    <mergeCell ref="C15:C16"/>
    <mergeCell ref="C17:C26"/>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40"/>
  <sheetViews>
    <sheetView showGridLines="0" workbookViewId="0">
      <selection activeCell="F10" sqref="F10"/>
    </sheetView>
  </sheetViews>
  <sheetFormatPr baseColWidth="10" defaultRowHeight="15" x14ac:dyDescent="0.25"/>
  <cols>
    <col min="1" max="1" width="19.7109375" customWidth="1"/>
    <col min="2" max="2" width="19.85546875" customWidth="1"/>
    <col min="3" max="3" width="21.85546875" customWidth="1"/>
    <col min="4" max="7" width="8.7109375" customWidth="1"/>
    <col min="8" max="9" width="15.140625" customWidth="1"/>
    <col min="10" max="10" width="32.42578125" customWidth="1"/>
    <col min="11" max="11" width="12.28515625" customWidth="1"/>
    <col min="12" max="13" width="15.140625" customWidth="1"/>
    <col min="44" max="44" width="22.28515625" customWidth="1"/>
    <col min="45" max="45" width="21.140625" customWidth="1"/>
    <col min="46" max="46" width="21.28515625" customWidth="1"/>
    <col min="47" max="47" width="37.85546875" customWidth="1"/>
    <col min="55" max="55" width="38" customWidth="1"/>
    <col min="57" max="57" width="22.140625" customWidth="1"/>
    <col min="61" max="61" width="34.85546875" customWidth="1"/>
    <col min="62" max="62" width="39.28515625" customWidth="1"/>
  </cols>
  <sheetData>
    <row r="4" spans="1:13" ht="15.75" thickBot="1" x14ac:dyDescent="0.3"/>
    <row r="5" spans="1:13" ht="30" customHeight="1" thickTop="1" thickBot="1" x14ac:dyDescent="0.3">
      <c r="A5" s="639" t="s">
        <v>0</v>
      </c>
      <c r="B5" s="639" t="s">
        <v>1</v>
      </c>
      <c r="C5" s="639" t="s">
        <v>2569</v>
      </c>
      <c r="D5" s="636" t="s">
        <v>1961</v>
      </c>
      <c r="E5" s="637"/>
      <c r="F5" s="637"/>
      <c r="G5" s="638"/>
      <c r="H5" s="636" t="s">
        <v>3</v>
      </c>
      <c r="I5" s="637"/>
      <c r="J5" s="636" t="s">
        <v>1962</v>
      </c>
      <c r="K5" s="637"/>
      <c r="L5" s="637"/>
      <c r="M5" s="637"/>
    </row>
    <row r="6" spans="1:13" ht="34.5" customHeight="1" thickTop="1" thickBot="1" x14ac:dyDescent="0.3">
      <c r="A6" s="661"/>
      <c r="B6" s="661"/>
      <c r="C6" s="661"/>
      <c r="D6" s="547" t="s">
        <v>4</v>
      </c>
      <c r="E6" s="547" t="s">
        <v>5</v>
      </c>
      <c r="F6" s="547" t="s">
        <v>6</v>
      </c>
      <c r="G6" s="547" t="s">
        <v>7</v>
      </c>
      <c r="H6" s="547" t="s">
        <v>2</v>
      </c>
      <c r="I6" s="547" t="s">
        <v>3</v>
      </c>
      <c r="J6" s="547" t="s">
        <v>8</v>
      </c>
      <c r="K6" s="547" t="s">
        <v>9</v>
      </c>
      <c r="L6" s="547" t="s">
        <v>1963</v>
      </c>
      <c r="M6" s="513" t="s">
        <v>1964</v>
      </c>
    </row>
    <row r="7" spans="1:13" ht="50.25" customHeight="1" thickTop="1" thickBot="1" x14ac:dyDescent="0.3">
      <c r="A7" s="573" t="s">
        <v>1927</v>
      </c>
      <c r="B7" s="573" t="s">
        <v>1926</v>
      </c>
      <c r="C7" s="573" t="s">
        <v>18</v>
      </c>
      <c r="D7" s="573">
        <v>3</v>
      </c>
      <c r="E7" s="573">
        <v>30</v>
      </c>
      <c r="F7" s="574" t="s">
        <v>297</v>
      </c>
      <c r="G7" s="573">
        <v>848</v>
      </c>
      <c r="H7" s="575">
        <v>335228299</v>
      </c>
      <c r="I7" s="575">
        <v>100000000</v>
      </c>
      <c r="J7" s="576" t="s">
        <v>2182</v>
      </c>
      <c r="K7" s="578" t="s">
        <v>20</v>
      </c>
      <c r="L7" s="579">
        <v>170</v>
      </c>
      <c r="M7" s="579">
        <v>115</v>
      </c>
    </row>
    <row r="8" spans="1:13" ht="37.5" customHeight="1" thickTop="1" thickBot="1" x14ac:dyDescent="0.3">
      <c r="A8" s="573" t="s">
        <v>1927</v>
      </c>
      <c r="B8" s="573" t="s">
        <v>1926</v>
      </c>
      <c r="C8" s="730" t="s">
        <v>53</v>
      </c>
      <c r="D8" s="573">
        <v>3</v>
      </c>
      <c r="E8" s="573">
        <v>30</v>
      </c>
      <c r="F8" s="574" t="s">
        <v>297</v>
      </c>
      <c r="G8" s="573">
        <v>520</v>
      </c>
      <c r="H8" s="575">
        <v>99780000</v>
      </c>
      <c r="I8" s="575">
        <v>99780000</v>
      </c>
      <c r="J8" s="576" t="s">
        <v>2176</v>
      </c>
      <c r="K8" s="578" t="s">
        <v>55</v>
      </c>
      <c r="L8" s="579">
        <v>2</v>
      </c>
      <c r="M8" s="579">
        <v>1</v>
      </c>
    </row>
    <row r="9" spans="1:13" ht="33" customHeight="1" thickTop="1" thickBot="1" x14ac:dyDescent="0.3">
      <c r="A9" s="573" t="s">
        <v>1927</v>
      </c>
      <c r="B9" s="573" t="s">
        <v>1926</v>
      </c>
      <c r="C9" s="730"/>
      <c r="D9" s="573">
        <v>3</v>
      </c>
      <c r="E9" s="573">
        <v>30</v>
      </c>
      <c r="F9" s="574" t="s">
        <v>297</v>
      </c>
      <c r="G9" s="573">
        <v>520</v>
      </c>
      <c r="H9" s="575">
        <v>25000000</v>
      </c>
      <c r="I9" s="575">
        <v>0</v>
      </c>
      <c r="J9" s="576" t="s">
        <v>2178</v>
      </c>
      <c r="K9" s="578" t="s">
        <v>25</v>
      </c>
      <c r="L9" s="579">
        <v>1</v>
      </c>
      <c r="M9" s="579">
        <v>0</v>
      </c>
    </row>
    <row r="10" spans="1:13" ht="48.75" customHeight="1" thickTop="1" thickBot="1" x14ac:dyDescent="0.3">
      <c r="A10" s="573" t="s">
        <v>1927</v>
      </c>
      <c r="B10" s="573" t="s">
        <v>1926</v>
      </c>
      <c r="C10" s="573" t="s">
        <v>53</v>
      </c>
      <c r="D10" s="573">
        <v>3</v>
      </c>
      <c r="E10" s="573">
        <v>30</v>
      </c>
      <c r="F10" s="574" t="s">
        <v>297</v>
      </c>
      <c r="G10" s="573">
        <v>520</v>
      </c>
      <c r="H10" s="575">
        <v>343000000</v>
      </c>
      <c r="I10" s="575">
        <v>343000000</v>
      </c>
      <c r="J10" s="576" t="s">
        <v>2177</v>
      </c>
      <c r="K10" s="578" t="s">
        <v>55</v>
      </c>
      <c r="L10" s="579">
        <v>7</v>
      </c>
      <c r="M10" s="579">
        <v>7</v>
      </c>
    </row>
    <row r="11" spans="1:13" ht="48.75" customHeight="1" thickTop="1" thickBot="1" x14ac:dyDescent="0.3">
      <c r="A11" s="573" t="s">
        <v>1927</v>
      </c>
      <c r="B11" s="573" t="s">
        <v>1926</v>
      </c>
      <c r="C11" s="573" t="s">
        <v>53</v>
      </c>
      <c r="D11" s="573">
        <v>3</v>
      </c>
      <c r="E11" s="573">
        <v>30</v>
      </c>
      <c r="F11" s="574" t="s">
        <v>297</v>
      </c>
      <c r="G11" s="573">
        <v>520</v>
      </c>
      <c r="H11" s="575">
        <v>24000000</v>
      </c>
      <c r="I11" s="575">
        <v>24000000</v>
      </c>
      <c r="J11" s="576" t="s">
        <v>1929</v>
      </c>
      <c r="K11" s="578" t="s">
        <v>13</v>
      </c>
      <c r="L11" s="579">
        <v>6</v>
      </c>
      <c r="M11" s="579">
        <v>6</v>
      </c>
    </row>
    <row r="12" spans="1:13" ht="42.75" customHeight="1" thickTop="1" thickBot="1" x14ac:dyDescent="0.3">
      <c r="A12" s="573" t="s">
        <v>1927</v>
      </c>
      <c r="B12" s="573" t="s">
        <v>1926</v>
      </c>
      <c r="C12" s="727" t="s">
        <v>440</v>
      </c>
      <c r="D12" s="573">
        <v>3</v>
      </c>
      <c r="E12" s="573">
        <v>30</v>
      </c>
      <c r="F12" s="574" t="s">
        <v>297</v>
      </c>
      <c r="G12" s="573">
        <v>520</v>
      </c>
      <c r="H12" s="575">
        <v>140419363</v>
      </c>
      <c r="I12" s="575">
        <v>30000000</v>
      </c>
      <c r="J12" s="576" t="s">
        <v>1928</v>
      </c>
      <c r="K12" s="578" t="s">
        <v>11</v>
      </c>
      <c r="L12" s="579">
        <v>2340</v>
      </c>
      <c r="M12" s="579">
        <v>500</v>
      </c>
    </row>
    <row r="13" spans="1:13" ht="42.75" customHeight="1" thickTop="1" thickBot="1" x14ac:dyDescent="0.3">
      <c r="A13" s="573" t="s">
        <v>1927</v>
      </c>
      <c r="B13" s="573" t="s">
        <v>1926</v>
      </c>
      <c r="C13" s="728"/>
      <c r="D13" s="573">
        <v>3</v>
      </c>
      <c r="E13" s="573">
        <v>30</v>
      </c>
      <c r="F13" s="574" t="s">
        <v>297</v>
      </c>
      <c r="G13" s="573">
        <v>520</v>
      </c>
      <c r="H13" s="575">
        <v>50000000</v>
      </c>
      <c r="I13" s="575">
        <v>0</v>
      </c>
      <c r="J13" s="577" t="s">
        <v>2181</v>
      </c>
      <c r="K13" s="578" t="s">
        <v>11</v>
      </c>
      <c r="L13" s="579">
        <v>200</v>
      </c>
      <c r="M13" s="579">
        <v>0</v>
      </c>
    </row>
    <row r="14" spans="1:13" ht="42.75" customHeight="1" thickTop="1" thickBot="1" x14ac:dyDescent="0.3">
      <c r="A14" s="573" t="s">
        <v>1927</v>
      </c>
      <c r="B14" s="573" t="s">
        <v>1926</v>
      </c>
      <c r="C14" s="729"/>
      <c r="D14" s="554">
        <v>3</v>
      </c>
      <c r="E14" s="554">
        <v>30</v>
      </c>
      <c r="F14" s="574" t="s">
        <v>297</v>
      </c>
      <c r="G14" s="554">
        <v>530</v>
      </c>
      <c r="H14" s="575">
        <v>50000000</v>
      </c>
      <c r="I14" s="575">
        <v>0</v>
      </c>
      <c r="J14" s="576" t="s">
        <v>2179</v>
      </c>
      <c r="K14" s="578" t="s">
        <v>17</v>
      </c>
      <c r="L14" s="579">
        <v>3</v>
      </c>
      <c r="M14" s="579">
        <v>0</v>
      </c>
    </row>
    <row r="15" spans="1:13" ht="38.25" customHeight="1" thickTop="1" thickBot="1" x14ac:dyDescent="0.3">
      <c r="A15" s="573" t="s">
        <v>1927</v>
      </c>
      <c r="B15" s="573" t="s">
        <v>1926</v>
      </c>
      <c r="C15" s="573" t="s">
        <v>105</v>
      </c>
      <c r="D15" s="573">
        <v>3</v>
      </c>
      <c r="E15" s="573">
        <v>30</v>
      </c>
      <c r="F15" s="574" t="s">
        <v>297</v>
      </c>
      <c r="G15" s="573">
        <v>540</v>
      </c>
      <c r="H15" s="575">
        <v>50000000</v>
      </c>
      <c r="I15" s="575">
        <v>10000000</v>
      </c>
      <c r="J15" s="576" t="s">
        <v>2180</v>
      </c>
      <c r="K15" s="578" t="s">
        <v>46</v>
      </c>
      <c r="L15" s="579">
        <v>250</v>
      </c>
      <c r="M15" s="579">
        <v>50</v>
      </c>
    </row>
    <row r="16" spans="1:13" ht="16.5" thickTop="1" thickBot="1" x14ac:dyDescent="0.3"/>
    <row r="17" spans="1:13" ht="30" customHeight="1" thickTop="1" thickBot="1" x14ac:dyDescent="0.3">
      <c r="A17" s="639" t="s">
        <v>0</v>
      </c>
      <c r="B17" s="639" t="s">
        <v>1</v>
      </c>
      <c r="C17" s="639" t="s">
        <v>2569</v>
      </c>
      <c r="D17" s="636" t="s">
        <v>1961</v>
      </c>
      <c r="E17" s="637"/>
      <c r="F17" s="637"/>
      <c r="G17" s="638"/>
      <c r="H17" s="636" t="s">
        <v>3</v>
      </c>
      <c r="I17" s="637"/>
      <c r="J17" s="636" t="s">
        <v>1962</v>
      </c>
      <c r="K17" s="637"/>
      <c r="L17" s="637"/>
      <c r="M17" s="637"/>
    </row>
    <row r="18" spans="1:13" ht="36.75" customHeight="1" thickTop="1" thickBot="1" x14ac:dyDescent="0.3">
      <c r="A18" s="661"/>
      <c r="B18" s="661"/>
      <c r="C18" s="661"/>
      <c r="D18" s="547" t="s">
        <v>4</v>
      </c>
      <c r="E18" s="547" t="s">
        <v>5</v>
      </c>
      <c r="F18" s="547" t="s">
        <v>6</v>
      </c>
      <c r="G18" s="547" t="s">
        <v>7</v>
      </c>
      <c r="H18" s="547" t="s">
        <v>2</v>
      </c>
      <c r="I18" s="547" t="s">
        <v>3</v>
      </c>
      <c r="J18" s="547" t="s">
        <v>8</v>
      </c>
      <c r="K18" s="547" t="s">
        <v>9</v>
      </c>
      <c r="L18" s="547" t="s">
        <v>1963</v>
      </c>
      <c r="M18" s="513" t="s">
        <v>1964</v>
      </c>
    </row>
    <row r="19" spans="1:13" ht="53.25" customHeight="1" thickTop="1" thickBot="1" x14ac:dyDescent="0.3">
      <c r="A19" s="551" t="s">
        <v>1930</v>
      </c>
      <c r="B19" s="556" t="s">
        <v>1926</v>
      </c>
      <c r="C19" s="551" t="s">
        <v>18</v>
      </c>
      <c r="D19" s="551">
        <v>3</v>
      </c>
      <c r="E19" s="551">
        <v>30</v>
      </c>
      <c r="F19" s="551">
        <v>3</v>
      </c>
      <c r="G19" s="550">
        <v>848</v>
      </c>
      <c r="H19" s="575">
        <v>206985094</v>
      </c>
      <c r="I19" s="575">
        <v>0</v>
      </c>
      <c r="J19" s="549" t="s">
        <v>2175</v>
      </c>
      <c r="K19" s="550" t="s">
        <v>20</v>
      </c>
      <c r="L19" s="550">
        <v>2000</v>
      </c>
      <c r="M19" s="548">
        <v>0</v>
      </c>
    </row>
    <row r="20" spans="1:13" ht="61.5" customHeight="1" thickTop="1" thickBot="1" x14ac:dyDescent="0.3">
      <c r="A20" s="551" t="s">
        <v>1930</v>
      </c>
      <c r="B20" s="556" t="s">
        <v>1926</v>
      </c>
      <c r="C20" s="551" t="s">
        <v>53</v>
      </c>
      <c r="D20" s="551">
        <v>3</v>
      </c>
      <c r="E20" s="551">
        <v>30</v>
      </c>
      <c r="F20" s="551">
        <v>3</v>
      </c>
      <c r="G20" s="550">
        <v>520</v>
      </c>
      <c r="H20" s="575">
        <v>362965219</v>
      </c>
      <c r="I20" s="575">
        <v>339125557</v>
      </c>
      <c r="J20" s="549" t="s">
        <v>1931</v>
      </c>
      <c r="K20" s="550" t="s">
        <v>13</v>
      </c>
      <c r="L20" s="550">
        <v>3</v>
      </c>
      <c r="M20" s="548">
        <v>3</v>
      </c>
    </row>
    <row r="21" spans="1:13" ht="48.75" customHeight="1" thickTop="1" thickBot="1" x14ac:dyDescent="0.3">
      <c r="A21" s="551" t="s">
        <v>1930</v>
      </c>
      <c r="B21" s="556" t="s">
        <v>1926</v>
      </c>
      <c r="C21" s="654" t="s">
        <v>105</v>
      </c>
      <c r="D21" s="551">
        <v>3</v>
      </c>
      <c r="E21" s="551">
        <v>30</v>
      </c>
      <c r="F21" s="551">
        <v>3</v>
      </c>
      <c r="G21" s="550">
        <v>540</v>
      </c>
      <c r="H21" s="575">
        <v>18000000</v>
      </c>
      <c r="I21" s="575">
        <v>0</v>
      </c>
      <c r="J21" s="549" t="s">
        <v>1932</v>
      </c>
      <c r="K21" s="550" t="s">
        <v>17</v>
      </c>
      <c r="L21" s="550">
        <v>8</v>
      </c>
      <c r="M21" s="548">
        <v>0</v>
      </c>
    </row>
    <row r="22" spans="1:13" ht="48.75" customHeight="1" thickTop="1" thickBot="1" x14ac:dyDescent="0.3">
      <c r="A22" s="551" t="s">
        <v>1930</v>
      </c>
      <c r="B22" s="556" t="s">
        <v>1926</v>
      </c>
      <c r="C22" s="654"/>
      <c r="D22" s="551">
        <v>3</v>
      </c>
      <c r="E22" s="551">
        <v>30</v>
      </c>
      <c r="F22" s="551">
        <v>3</v>
      </c>
      <c r="G22" s="550">
        <v>540</v>
      </c>
      <c r="H22" s="575">
        <v>30000000</v>
      </c>
      <c r="I22" s="575">
        <v>0</v>
      </c>
      <c r="J22" s="549" t="s">
        <v>1933</v>
      </c>
      <c r="K22" s="550" t="s">
        <v>17</v>
      </c>
      <c r="L22" s="550">
        <v>61</v>
      </c>
      <c r="M22" s="548">
        <v>0</v>
      </c>
    </row>
    <row r="23" spans="1:13" ht="48.75" customHeight="1" thickTop="1" thickBot="1" x14ac:dyDescent="0.3">
      <c r="A23" s="551" t="s">
        <v>1930</v>
      </c>
      <c r="B23" s="556" t="s">
        <v>1926</v>
      </c>
      <c r="C23" s="654"/>
      <c r="D23" s="551">
        <v>3</v>
      </c>
      <c r="E23" s="551">
        <v>30</v>
      </c>
      <c r="F23" s="551">
        <v>3</v>
      </c>
      <c r="G23" s="550">
        <v>540</v>
      </c>
      <c r="H23" s="575">
        <v>12000000</v>
      </c>
      <c r="I23" s="575">
        <v>0</v>
      </c>
      <c r="J23" s="549" t="s">
        <v>1934</v>
      </c>
      <c r="K23" s="550" t="s">
        <v>614</v>
      </c>
      <c r="L23" s="550">
        <v>3</v>
      </c>
      <c r="M23" s="548">
        <v>0</v>
      </c>
    </row>
    <row r="24" spans="1:13" ht="48.75" customHeight="1" thickTop="1" thickBot="1" x14ac:dyDescent="0.3">
      <c r="A24" s="551" t="s">
        <v>1930</v>
      </c>
      <c r="B24" s="556" t="s">
        <v>1926</v>
      </c>
      <c r="C24" s="654"/>
      <c r="D24" s="551">
        <v>3</v>
      </c>
      <c r="E24" s="551">
        <v>30</v>
      </c>
      <c r="F24" s="551">
        <v>3</v>
      </c>
      <c r="G24" s="550">
        <v>540</v>
      </c>
      <c r="H24" s="575">
        <v>36000000</v>
      </c>
      <c r="I24" s="575">
        <v>0</v>
      </c>
      <c r="J24" s="549" t="s">
        <v>1935</v>
      </c>
      <c r="K24" s="550" t="s">
        <v>614</v>
      </c>
      <c r="L24" s="550">
        <v>52</v>
      </c>
      <c r="M24" s="548">
        <v>0</v>
      </c>
    </row>
    <row r="25" spans="1:13" ht="39.75" customHeight="1" thickTop="1" thickBot="1" x14ac:dyDescent="0.3">
      <c r="A25" s="551" t="s">
        <v>1930</v>
      </c>
      <c r="B25" s="556" t="s">
        <v>1926</v>
      </c>
      <c r="C25" s="654"/>
      <c r="D25" s="551">
        <v>3</v>
      </c>
      <c r="E25" s="551">
        <v>30</v>
      </c>
      <c r="F25" s="551">
        <v>3</v>
      </c>
      <c r="G25" s="550">
        <v>540</v>
      </c>
      <c r="H25" s="575">
        <v>24000000</v>
      </c>
      <c r="I25" s="575">
        <v>0</v>
      </c>
      <c r="J25" s="549" t="s">
        <v>1936</v>
      </c>
      <c r="K25" s="550" t="s">
        <v>46</v>
      </c>
      <c r="L25" s="550">
        <v>40</v>
      </c>
      <c r="M25" s="548">
        <v>0</v>
      </c>
    </row>
    <row r="26" spans="1:13" ht="16.5" thickTop="1" thickBot="1" x14ac:dyDescent="0.3"/>
    <row r="27" spans="1:13" ht="30" customHeight="1" thickTop="1" thickBot="1" x14ac:dyDescent="0.3">
      <c r="A27" s="639" t="s">
        <v>0</v>
      </c>
      <c r="B27" s="639" t="s">
        <v>1</v>
      </c>
      <c r="C27" s="639" t="s">
        <v>2569</v>
      </c>
      <c r="D27" s="636" t="s">
        <v>1961</v>
      </c>
      <c r="E27" s="637"/>
      <c r="F27" s="637"/>
      <c r="G27" s="638"/>
      <c r="H27" s="636" t="s">
        <v>3</v>
      </c>
      <c r="I27" s="637"/>
      <c r="J27" s="636" t="s">
        <v>1962</v>
      </c>
      <c r="K27" s="637"/>
      <c r="L27" s="637"/>
      <c r="M27" s="637"/>
    </row>
    <row r="28" spans="1:13" ht="34.5" customHeight="1" thickTop="1" thickBot="1" x14ac:dyDescent="0.3">
      <c r="A28" s="661"/>
      <c r="B28" s="661"/>
      <c r="C28" s="661"/>
      <c r="D28" s="547" t="s">
        <v>4</v>
      </c>
      <c r="E28" s="547" t="s">
        <v>5</v>
      </c>
      <c r="F28" s="547" t="s">
        <v>6</v>
      </c>
      <c r="G28" s="547" t="s">
        <v>7</v>
      </c>
      <c r="H28" s="547" t="s">
        <v>2</v>
      </c>
      <c r="I28" s="547" t="s">
        <v>3</v>
      </c>
      <c r="J28" s="547" t="s">
        <v>8</v>
      </c>
      <c r="K28" s="547" t="s">
        <v>9</v>
      </c>
      <c r="L28" s="547" t="s">
        <v>1963</v>
      </c>
      <c r="M28" s="513" t="s">
        <v>1964</v>
      </c>
    </row>
    <row r="29" spans="1:13" ht="51" customHeight="1" thickTop="1" thickBot="1" x14ac:dyDescent="0.3">
      <c r="A29" s="551" t="s">
        <v>1937</v>
      </c>
      <c r="B29" s="556" t="s">
        <v>1926</v>
      </c>
      <c r="C29" s="551" t="s">
        <v>18</v>
      </c>
      <c r="D29" s="550">
        <v>2</v>
      </c>
      <c r="E29" s="548">
        <v>30</v>
      </c>
      <c r="F29" s="548">
        <v>3</v>
      </c>
      <c r="G29" s="550">
        <v>848</v>
      </c>
      <c r="H29" s="558">
        <v>300726280</v>
      </c>
      <c r="I29" s="552">
        <v>0</v>
      </c>
      <c r="J29" s="549" t="s">
        <v>2171</v>
      </c>
      <c r="K29" s="550" t="s">
        <v>20</v>
      </c>
      <c r="L29" s="548">
        <v>400</v>
      </c>
      <c r="M29" s="548">
        <v>0</v>
      </c>
    </row>
    <row r="30" spans="1:13" ht="31.5" customHeight="1" thickTop="1" thickBot="1" x14ac:dyDescent="0.3">
      <c r="A30" s="551" t="s">
        <v>1937</v>
      </c>
      <c r="B30" s="556" t="s">
        <v>1926</v>
      </c>
      <c r="C30" s="654" t="s">
        <v>53</v>
      </c>
      <c r="D30" s="550">
        <v>3</v>
      </c>
      <c r="E30" s="548">
        <v>30</v>
      </c>
      <c r="F30" s="548">
        <v>3</v>
      </c>
      <c r="G30" s="550">
        <v>520</v>
      </c>
      <c r="H30" s="558">
        <v>527457420</v>
      </c>
      <c r="I30" s="558">
        <f>+H30</f>
        <v>527457420</v>
      </c>
      <c r="J30" s="557" t="s">
        <v>2172</v>
      </c>
      <c r="K30" s="550" t="s">
        <v>55</v>
      </c>
      <c r="L30" s="550">
        <v>3</v>
      </c>
      <c r="M30" s="550">
        <v>3</v>
      </c>
    </row>
    <row r="31" spans="1:13" ht="31.5" customHeight="1" thickTop="1" thickBot="1" x14ac:dyDescent="0.3">
      <c r="A31" s="551" t="s">
        <v>1937</v>
      </c>
      <c r="B31" s="556" t="s">
        <v>1926</v>
      </c>
      <c r="C31" s="654"/>
      <c r="D31" s="550">
        <v>3</v>
      </c>
      <c r="E31" s="548">
        <v>30</v>
      </c>
      <c r="F31" s="548">
        <v>3</v>
      </c>
      <c r="G31" s="550">
        <v>520</v>
      </c>
      <c r="H31" s="558">
        <v>106152080</v>
      </c>
      <c r="I31" s="552">
        <f>+H31</f>
        <v>106152080</v>
      </c>
      <c r="J31" s="557" t="s">
        <v>2173</v>
      </c>
      <c r="K31" s="550" t="s">
        <v>103</v>
      </c>
      <c r="L31" s="550">
        <v>1</v>
      </c>
      <c r="M31" s="550">
        <v>1</v>
      </c>
    </row>
    <row r="32" spans="1:13" ht="40.5" customHeight="1" thickTop="1" thickBot="1" x14ac:dyDescent="0.3">
      <c r="A32" s="551" t="s">
        <v>1937</v>
      </c>
      <c r="B32" s="556" t="s">
        <v>1926</v>
      </c>
      <c r="C32" s="654"/>
      <c r="D32" s="550">
        <v>3</v>
      </c>
      <c r="E32" s="548">
        <v>30</v>
      </c>
      <c r="F32" s="548">
        <v>3</v>
      </c>
      <c r="G32" s="550">
        <v>520</v>
      </c>
      <c r="H32" s="572">
        <v>68085155</v>
      </c>
      <c r="I32" s="572">
        <v>47625420</v>
      </c>
      <c r="J32" s="557" t="s">
        <v>2174</v>
      </c>
      <c r="K32" s="550" t="s">
        <v>55</v>
      </c>
      <c r="L32" s="550">
        <v>1</v>
      </c>
      <c r="M32" s="550">
        <v>1</v>
      </c>
    </row>
    <row r="33" spans="1:13" ht="16.5" thickTop="1" thickBot="1" x14ac:dyDescent="0.3"/>
    <row r="34" spans="1:13" ht="30.75" customHeight="1" thickTop="1" thickBot="1" x14ac:dyDescent="0.3">
      <c r="A34" s="639" t="s">
        <v>0</v>
      </c>
      <c r="B34" s="639" t="s">
        <v>1</v>
      </c>
      <c r="C34" s="639" t="s">
        <v>2569</v>
      </c>
      <c r="D34" s="636" t="s">
        <v>1961</v>
      </c>
      <c r="E34" s="637"/>
      <c r="F34" s="637"/>
      <c r="G34" s="638"/>
      <c r="H34" s="636" t="s">
        <v>3</v>
      </c>
      <c r="I34" s="637"/>
      <c r="J34" s="636" t="s">
        <v>1962</v>
      </c>
      <c r="K34" s="637"/>
      <c r="L34" s="637"/>
      <c r="M34" s="637"/>
    </row>
    <row r="35" spans="1:13" ht="34.5" customHeight="1" thickTop="1" thickBot="1" x14ac:dyDescent="0.3">
      <c r="A35" s="661"/>
      <c r="B35" s="661"/>
      <c r="C35" s="661"/>
      <c r="D35" s="547" t="s">
        <v>4</v>
      </c>
      <c r="E35" s="547" t="s">
        <v>5</v>
      </c>
      <c r="F35" s="547" t="s">
        <v>6</v>
      </c>
      <c r="G35" s="547" t="s">
        <v>7</v>
      </c>
      <c r="H35" s="547" t="s">
        <v>2</v>
      </c>
      <c r="I35" s="547" t="s">
        <v>3</v>
      </c>
      <c r="J35" s="547" t="s">
        <v>8</v>
      </c>
      <c r="K35" s="547" t="s">
        <v>9</v>
      </c>
      <c r="L35" s="547" t="s">
        <v>1963</v>
      </c>
      <c r="M35" s="513" t="s">
        <v>1964</v>
      </c>
    </row>
    <row r="36" spans="1:13" ht="52.5" customHeight="1" thickTop="1" thickBot="1" x14ac:dyDescent="0.3">
      <c r="A36" s="554" t="s">
        <v>1938</v>
      </c>
      <c r="B36" s="573" t="s">
        <v>1926</v>
      </c>
      <c r="C36" s="555" t="s">
        <v>18</v>
      </c>
      <c r="D36" s="555">
        <v>3</v>
      </c>
      <c r="E36" s="555">
        <v>30</v>
      </c>
      <c r="F36" s="555">
        <v>3</v>
      </c>
      <c r="G36" s="555">
        <v>848</v>
      </c>
      <c r="H36" s="572">
        <v>406543426</v>
      </c>
      <c r="I36" s="572">
        <v>0</v>
      </c>
      <c r="J36" s="340" t="s">
        <v>1939</v>
      </c>
      <c r="K36" s="555" t="s">
        <v>20</v>
      </c>
      <c r="L36" s="343">
        <v>80</v>
      </c>
      <c r="M36" s="343">
        <v>0</v>
      </c>
    </row>
    <row r="37" spans="1:13" ht="37.5" customHeight="1" thickTop="1" thickBot="1" x14ac:dyDescent="0.3">
      <c r="A37" s="554" t="s">
        <v>1938</v>
      </c>
      <c r="B37" s="573" t="s">
        <v>1926</v>
      </c>
      <c r="C37" s="679" t="s">
        <v>53</v>
      </c>
      <c r="D37" s="555">
        <v>3</v>
      </c>
      <c r="E37" s="555">
        <v>30</v>
      </c>
      <c r="F37" s="555">
        <v>3</v>
      </c>
      <c r="G37" s="555">
        <v>520</v>
      </c>
      <c r="H37" s="572">
        <v>157503164</v>
      </c>
      <c r="I37" s="572">
        <f>86845322+45159568+6947626+18550648</f>
        <v>157503164</v>
      </c>
      <c r="J37" s="340" t="s">
        <v>1940</v>
      </c>
      <c r="K37" s="555" t="s">
        <v>354</v>
      </c>
      <c r="L37" s="343">
        <v>1</v>
      </c>
      <c r="M37" s="343">
        <v>1</v>
      </c>
    </row>
    <row r="38" spans="1:13" ht="37.5" customHeight="1" thickTop="1" thickBot="1" x14ac:dyDescent="0.3">
      <c r="A38" s="554" t="s">
        <v>1938</v>
      </c>
      <c r="B38" s="573" t="s">
        <v>1926</v>
      </c>
      <c r="C38" s="679"/>
      <c r="D38" s="555">
        <v>3</v>
      </c>
      <c r="E38" s="555">
        <v>30</v>
      </c>
      <c r="F38" s="555">
        <v>3</v>
      </c>
      <c r="G38" s="555">
        <v>520</v>
      </c>
      <c r="H38" s="572">
        <v>289480372</v>
      </c>
      <c r="I38" s="572">
        <v>0</v>
      </c>
      <c r="J38" s="340" t="s">
        <v>1941</v>
      </c>
      <c r="K38" s="555" t="s">
        <v>13</v>
      </c>
      <c r="L38" s="343">
        <v>2</v>
      </c>
      <c r="M38" s="343">
        <v>0</v>
      </c>
    </row>
    <row r="39" spans="1:13" ht="37.5" customHeight="1" thickTop="1" thickBot="1" x14ac:dyDescent="0.3">
      <c r="A39" s="554" t="s">
        <v>1938</v>
      </c>
      <c r="B39" s="573" t="s">
        <v>1926</v>
      </c>
      <c r="C39" s="679"/>
      <c r="D39" s="555">
        <v>3</v>
      </c>
      <c r="E39" s="555">
        <v>30</v>
      </c>
      <c r="F39" s="555">
        <v>3</v>
      </c>
      <c r="G39" s="555">
        <v>520</v>
      </c>
      <c r="H39" s="572">
        <v>113116023</v>
      </c>
      <c r="I39" s="572">
        <f>33934806+36762708+36590608+5655801+172100</f>
        <v>113116023</v>
      </c>
      <c r="J39" s="340" t="s">
        <v>1942</v>
      </c>
      <c r="K39" s="555" t="s">
        <v>25</v>
      </c>
      <c r="L39" s="343">
        <v>1</v>
      </c>
      <c r="M39" s="343">
        <v>1</v>
      </c>
    </row>
    <row r="40" spans="1:13" ht="15.75" thickTop="1" x14ac:dyDescent="0.25"/>
  </sheetData>
  <mergeCells count="29">
    <mergeCell ref="J5:M5"/>
    <mergeCell ref="B5:B6"/>
    <mergeCell ref="C5:C6"/>
    <mergeCell ref="D5:G5"/>
    <mergeCell ref="J27:M27"/>
    <mergeCell ref="J17:M17"/>
    <mergeCell ref="B27:B28"/>
    <mergeCell ref="C27:C28"/>
    <mergeCell ref="D27:G27"/>
    <mergeCell ref="B17:B18"/>
    <mergeCell ref="C17:C18"/>
    <mergeCell ref="D17:G17"/>
    <mergeCell ref="C37:C39"/>
    <mergeCell ref="J34:M34"/>
    <mergeCell ref="B34:B35"/>
    <mergeCell ref="C34:C35"/>
    <mergeCell ref="D34:G34"/>
    <mergeCell ref="A5:A6"/>
    <mergeCell ref="A17:A18"/>
    <mergeCell ref="A27:A28"/>
    <mergeCell ref="A34:A35"/>
    <mergeCell ref="H5:I5"/>
    <mergeCell ref="H17:I17"/>
    <mergeCell ref="H27:I27"/>
    <mergeCell ref="H34:I34"/>
    <mergeCell ref="C12:C14"/>
    <mergeCell ref="C8:C9"/>
    <mergeCell ref="C30:C32"/>
    <mergeCell ref="C21:C25"/>
  </mergeCells>
  <pageMargins left="0.7" right="0.7" top="0.75" bottom="0.75" header="0.3" footer="0.3"/>
  <pageSetup paperSize="9" orientation="portrait" verticalDpi="0" r:id="rId1"/>
  <ignoredErrors>
    <ignoredError sqref="F13:F15 F7:F10 F11:F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265</vt:i4>
      </vt:variant>
    </vt:vector>
  </HeadingPairs>
  <TitlesOfParts>
    <vt:vector size="284" baseType="lpstr">
      <vt:lpstr>Indice</vt:lpstr>
      <vt:lpstr>Asunción</vt:lpstr>
      <vt:lpstr>Concepción</vt:lpstr>
      <vt:lpstr>San Pedro</vt:lpstr>
      <vt:lpstr>Cordillera</vt:lpstr>
      <vt:lpstr>Guaira </vt:lpstr>
      <vt:lpstr>Caaguazú</vt:lpstr>
      <vt:lpstr>Caazapá</vt:lpstr>
      <vt:lpstr>Itapúa</vt:lpstr>
      <vt:lpstr>Misiones</vt:lpstr>
      <vt:lpstr>Paraguari</vt:lpstr>
      <vt:lpstr>Alto Parana</vt:lpstr>
      <vt:lpstr>Central</vt:lpstr>
      <vt:lpstr>Ñeembucu</vt:lpstr>
      <vt:lpstr>Amambay</vt:lpstr>
      <vt:lpstr>Canindeyu</vt:lpstr>
      <vt:lpstr>Pte. Hayes</vt:lpstr>
      <vt:lpstr>Boquerón</vt:lpstr>
      <vt:lpstr>Alto Paraguay</vt:lpstr>
      <vt:lpstr>_02._10.San_Pablo</vt:lpstr>
      <vt:lpstr>_02.01._San_Pedro_del_Ycuamandyyú</vt:lpstr>
      <vt:lpstr>_02.02._Puerto_Antequera</vt:lpstr>
      <vt:lpstr>_02.03._Chore</vt:lpstr>
      <vt:lpstr>_02.04._Gral_E._Aquino</vt:lpstr>
      <vt:lpstr>_02.05._Itacurubi_del_Rosario</vt:lpstr>
      <vt:lpstr>_02.06._Lima</vt:lpstr>
      <vt:lpstr>_02.07._Nueva_Germania</vt:lpstr>
      <vt:lpstr>_02.08._San_Estanislao</vt:lpstr>
      <vt:lpstr>_02.09._Yrybucua</vt:lpstr>
      <vt:lpstr>_02.10.San_Pablo</vt:lpstr>
      <vt:lpstr>_02.11._Tacuati</vt:lpstr>
      <vt:lpstr>_02.12._Unión</vt:lpstr>
      <vt:lpstr>_02.13._25_de_Diciembre</vt:lpstr>
      <vt:lpstr>_02.14._Villa_del_Rosario</vt:lpstr>
      <vt:lpstr>_02.15._Gral_Francisco_Isodoro_Resquin</vt:lpstr>
      <vt:lpstr>_02.16._Yataity_del_Norte</vt:lpstr>
      <vt:lpstr>_02.17._Guajayvi</vt:lpstr>
      <vt:lpstr>_02.18._Capiirbary</vt:lpstr>
      <vt:lpstr>_02.19._Santa_Rosa_del_Aguaray</vt:lpstr>
      <vt:lpstr>_02.20._Liberación</vt:lpstr>
      <vt:lpstr>_03._01_Caacupe</vt:lpstr>
      <vt:lpstr>_03._02_Altos</vt:lpstr>
      <vt:lpstr>_03._03_Arroyos_y_Esteros</vt:lpstr>
      <vt:lpstr>_03._04_Atyra</vt:lpstr>
      <vt:lpstr>_03._05_Caraguaty</vt:lpstr>
      <vt:lpstr>_03._06_Emboscada</vt:lpstr>
      <vt:lpstr>_03._07_Eusebio_Ayala</vt:lpstr>
      <vt:lpstr>_03._08_Isla_Pucu</vt:lpstr>
      <vt:lpstr>_03._09_Itacurubi_de_la_Cordillera</vt:lpstr>
      <vt:lpstr>_03._10_Juan_de_Mena</vt:lpstr>
      <vt:lpstr>_03._11_Loma_Grande</vt:lpstr>
      <vt:lpstr>_03._12_Mbocayaty_del_Yhaguy</vt:lpstr>
      <vt:lpstr>_03._13_Nueva_Colombia</vt:lpstr>
      <vt:lpstr>_03._14_Piribebuy</vt:lpstr>
      <vt:lpstr>_03._15.__1°_de_Marzo</vt:lpstr>
      <vt:lpstr>_03._16._San_Bernardino</vt:lpstr>
      <vt:lpstr>_03._17._Santa_Elena</vt:lpstr>
      <vt:lpstr>_03._18._Tobati</vt:lpstr>
      <vt:lpstr>_03._19._Valenzuela</vt:lpstr>
      <vt:lpstr>_03._20._San_José_Obrero</vt:lpstr>
      <vt:lpstr>_06._01._Caazapa</vt:lpstr>
      <vt:lpstr>_06._04_Moises_S._Bertoni</vt:lpstr>
      <vt:lpstr>_06.01._Caazapa</vt:lpstr>
      <vt:lpstr>_06.01._Caazapá</vt:lpstr>
      <vt:lpstr>_06.02._Abai</vt:lpstr>
      <vt:lpstr>_06.03._Buena_Vista</vt:lpstr>
      <vt:lpstr>_06.05._Gral._Higinio_Morinigo</vt:lpstr>
      <vt:lpstr>_06.06._Coronel_Maciel</vt:lpstr>
      <vt:lpstr>_06.07._San_Juan_Nepomuceno</vt:lpstr>
      <vt:lpstr>_06.08._Tavai</vt:lpstr>
      <vt:lpstr>_06.09._Fulgencio_Yegros</vt:lpstr>
      <vt:lpstr>_06.10._Yuty</vt:lpstr>
      <vt:lpstr>_06.11._3_de_Mayo</vt:lpstr>
      <vt:lpstr>_07._01._Encarnación</vt:lpstr>
      <vt:lpstr>_07._02._Bella_Vista</vt:lpstr>
      <vt:lpstr>_07._03._Cambyreta</vt:lpstr>
      <vt:lpstr>_07._04._Capitán_Meza</vt:lpstr>
      <vt:lpstr>_07._05._Capitán_Miranda</vt:lpstr>
      <vt:lpstr>_07._06.__Nueva_Alborada</vt:lpstr>
      <vt:lpstr>_07._07._Carmen_del_Paraná</vt:lpstr>
      <vt:lpstr>_07._08._Coronel_Bogado</vt:lpstr>
      <vt:lpstr>_07._09._Carlos_Antonio_López</vt:lpstr>
      <vt:lpstr>_07.10._Natalio</vt:lpstr>
      <vt:lpstr>_07.11._Fram</vt:lpstr>
      <vt:lpstr>_07.12._General_Artigas</vt:lpstr>
      <vt:lpstr>_07.13._General_José_M._Delgado</vt:lpstr>
      <vt:lpstr>_07.14._Hohenau</vt:lpstr>
      <vt:lpstr>_07.15._Jesús</vt:lpstr>
      <vt:lpstr>_07.16._José_Leandro_Oviedo</vt:lpstr>
      <vt:lpstr>_07.17._Obligado</vt:lpstr>
      <vt:lpstr>_07.18._Mayor_Julio_D._Otaño</vt:lpstr>
      <vt:lpstr>_07.19._San_Cosme_y_Damián</vt:lpstr>
      <vt:lpstr>_07.20._San_Pedro_del_Paraná</vt:lpstr>
      <vt:lpstr>_07.21._San_Rafael_del_Paraná</vt:lpstr>
      <vt:lpstr>_07.22._Trinidad</vt:lpstr>
      <vt:lpstr>_07.23._Edelira</vt:lpstr>
      <vt:lpstr>_07.24._Tomás_Romero_Pereira</vt:lpstr>
      <vt:lpstr>_07.25._Alto_Vera</vt:lpstr>
      <vt:lpstr>_07.26.__La_Paz</vt:lpstr>
      <vt:lpstr>_07.27._Yatytay</vt:lpstr>
      <vt:lpstr>_07.28._San_Juan_del_Paraná</vt:lpstr>
      <vt:lpstr>_07.29._Pirapo</vt:lpstr>
      <vt:lpstr>_07.30._Itapúa_Poty</vt:lpstr>
      <vt:lpstr>_08.01._San_Juan_Bautista</vt:lpstr>
      <vt:lpstr>_08.02._Ayolas</vt:lpstr>
      <vt:lpstr>_08.03._San_Ignacio</vt:lpstr>
      <vt:lpstr>_08.04.__San_Miguel</vt:lpstr>
      <vt:lpstr>_08.05._San_Patricio</vt:lpstr>
      <vt:lpstr>_08.06._Santa_Maria_de_Fe</vt:lpstr>
      <vt:lpstr>_08.07._Santa_Rosa_Misiones</vt:lpstr>
      <vt:lpstr>_08.08._Santiago</vt:lpstr>
      <vt:lpstr>_08.09._Villa_Florida</vt:lpstr>
      <vt:lpstr>_08.10._Yabebyry</vt:lpstr>
      <vt:lpstr>_09._Ybycui</vt:lpstr>
      <vt:lpstr>_09.01._Paraguari</vt:lpstr>
      <vt:lpstr>_09.02._Acahay</vt:lpstr>
      <vt:lpstr>_09.03_Caapucú</vt:lpstr>
      <vt:lpstr>_09.05._Carapeguá</vt:lpstr>
      <vt:lpstr>_09.06._Escobar</vt:lpstr>
      <vt:lpstr>_09.07._La_Colmena</vt:lpstr>
      <vt:lpstr>_09.08_Mbuyapey</vt:lpstr>
      <vt:lpstr>_09.09._Pirayú</vt:lpstr>
      <vt:lpstr>_09.10._Quiindy</vt:lpstr>
      <vt:lpstr>_09.11._Quyquyho</vt:lpstr>
      <vt:lpstr>_09.12._San_Roque_Gonzalez_de_Santa_Cruz</vt:lpstr>
      <vt:lpstr>_09.13._Sapucai</vt:lpstr>
      <vt:lpstr>_09.14._Tebicuarymi</vt:lpstr>
      <vt:lpstr>_09.15._Yaguarón</vt:lpstr>
      <vt:lpstr>_09.16._Ybycui</vt:lpstr>
      <vt:lpstr>_09.17._Ybytymi</vt:lpstr>
      <vt:lpstr>_10._10._Yguazú</vt:lpstr>
      <vt:lpstr>_10.01._Ciudad_del_Este</vt:lpstr>
      <vt:lpstr>_10.02._Presidente_Franco</vt:lpstr>
      <vt:lpstr>_10.03._Domingo_Martinez_de_Irala</vt:lpstr>
      <vt:lpstr>_10.04.__Juan_León_Mallorquín</vt:lpstr>
      <vt:lpstr>_10.05.__Hernandarias</vt:lpstr>
      <vt:lpstr>_10.06._Santa_Fe_del_Paraná</vt:lpstr>
      <vt:lpstr>_10.07._Itakyry</vt:lpstr>
      <vt:lpstr>_10.08._Juan_E._Oleary</vt:lpstr>
      <vt:lpstr>_10.09._Ñacunday</vt:lpstr>
      <vt:lpstr>_10.10._Yguazú</vt:lpstr>
      <vt:lpstr>_10.11._Los_Cedrales</vt:lpstr>
      <vt:lpstr>_10.12._Minga_Guazú</vt:lpstr>
      <vt:lpstr>_10.13._San_Cristobal</vt:lpstr>
      <vt:lpstr>_10.14._Santa_Rita</vt:lpstr>
      <vt:lpstr>_10.15.__Naranjal</vt:lpstr>
      <vt:lpstr>_10.16._Santa_Rosa_del_Monday</vt:lpstr>
      <vt:lpstr>_10.17._Minga_Porá</vt:lpstr>
      <vt:lpstr>_10.18.__Mbaracayú</vt:lpstr>
      <vt:lpstr>_10.19.__San_Alberto</vt:lpstr>
      <vt:lpstr>_10.20._Iruña</vt:lpstr>
      <vt:lpstr>_10.21._Tavapy</vt:lpstr>
      <vt:lpstr>_10.22._Dr._Raul_Peña</vt:lpstr>
      <vt:lpstr>_11.01._Areguá</vt:lpstr>
      <vt:lpstr>_11.02._Capiatá</vt:lpstr>
      <vt:lpstr>_11.03._Fernando_de_la_Mora</vt:lpstr>
      <vt:lpstr>_11.04._Guarambaré</vt:lpstr>
      <vt:lpstr>_11.05._Itá</vt:lpstr>
      <vt:lpstr>_11.06._Itauguá</vt:lpstr>
      <vt:lpstr>_11.07._Lambaré</vt:lpstr>
      <vt:lpstr>_11.08._Limpio</vt:lpstr>
      <vt:lpstr>_11.09._Luque</vt:lpstr>
      <vt:lpstr>_11.10._Mariano_Roque_Alonso</vt:lpstr>
      <vt:lpstr>_11.11._Nueva_Italia</vt:lpstr>
      <vt:lpstr>_11.12._Ñemby</vt:lpstr>
      <vt:lpstr>_11.13._San_Antonio</vt:lpstr>
      <vt:lpstr>_11.14._San_Lorenzo</vt:lpstr>
      <vt:lpstr>_11.15._Villa_Elisa</vt:lpstr>
      <vt:lpstr>_11.16._Villeta</vt:lpstr>
      <vt:lpstr>_11.17._Ypacarai</vt:lpstr>
      <vt:lpstr>_11.18._Ypane</vt:lpstr>
      <vt:lpstr>_11.19._J._Augusto_Saldivar</vt:lpstr>
      <vt:lpstr>_12.01._Pilar</vt:lpstr>
      <vt:lpstr>_12.02._Alberdi</vt:lpstr>
      <vt:lpstr>_12.03._Cerrito</vt:lpstr>
      <vt:lpstr>_12.04._Desmochados</vt:lpstr>
      <vt:lpstr>_12.05._Gral._José_Eduvigis_Diaz</vt:lpstr>
      <vt:lpstr>_12.06._Guazú_Cuá</vt:lpstr>
      <vt:lpstr>_12.07._Humaita</vt:lpstr>
      <vt:lpstr>_12.08._Isla_Umbu</vt:lpstr>
      <vt:lpstr>_12.09._Laureles</vt:lpstr>
      <vt:lpstr>_12.10._Mayor_Jose_D._Martinez</vt:lpstr>
      <vt:lpstr>_12.11._Paso_de_Patria</vt:lpstr>
      <vt:lpstr>_12.12._San_Juan_Bautista_de_Ñeembucu</vt:lpstr>
      <vt:lpstr>_12.13._Tacuaras</vt:lpstr>
      <vt:lpstr>_12.14._Villa_Franca</vt:lpstr>
      <vt:lpstr>_12.15._Villa_Oliva</vt:lpstr>
      <vt:lpstr>_12.16._Villalbin</vt:lpstr>
      <vt:lpstr>_13.01_Pedro_Juan_Caballero</vt:lpstr>
      <vt:lpstr>_13.02._Bella_Vista</vt:lpstr>
      <vt:lpstr>_13.03._Capitan_Bado</vt:lpstr>
      <vt:lpstr>_13.04._Zanja_Pyta</vt:lpstr>
      <vt:lpstr>_13.05._Karapai</vt:lpstr>
      <vt:lpstr>_14._07.__Ypejhu</vt:lpstr>
      <vt:lpstr>_14._07._Ypejhu</vt:lpstr>
      <vt:lpstr>_14.01._Saltos_del_Guairá</vt:lpstr>
      <vt:lpstr>_14.02._Corpus_Christi</vt:lpstr>
      <vt:lpstr>_14.03._Villa_Curuguaty</vt:lpstr>
      <vt:lpstr>_14.04._Yasy_Cañy</vt:lpstr>
      <vt:lpstr>_14.05._Villa_Ygatimi</vt:lpstr>
      <vt:lpstr>_14.06._Itanara</vt:lpstr>
      <vt:lpstr>_14.08._Gral_F._Caballero_Alvarez</vt:lpstr>
      <vt:lpstr>_14.09._Katuete</vt:lpstr>
      <vt:lpstr>_14.10._La_Paloma_del_Espiritu_Santo</vt:lpstr>
      <vt:lpstr>_14.11._Nueva_Esperanza</vt:lpstr>
      <vt:lpstr>_14.12._Ybyrarobana</vt:lpstr>
      <vt:lpstr>_14.13._Yby_Pyta</vt:lpstr>
      <vt:lpstr>_15.01._Benjamín_Aceval</vt:lpstr>
      <vt:lpstr>_15.02._Puerto_Pinasco</vt:lpstr>
      <vt:lpstr>_15.03._Villa_Hayes</vt:lpstr>
      <vt:lpstr>_15.04._Nanawa</vt:lpstr>
      <vt:lpstr>_15.05._José_Falcón</vt:lpstr>
      <vt:lpstr>_15.06.__Tte._1°_Manuel_Irala_Fernández</vt:lpstr>
      <vt:lpstr>_15.07._Tte._Esteban_Martínez</vt:lpstr>
      <vt:lpstr>_15.08._Gral._José_María_Bruguez</vt:lpstr>
      <vt:lpstr>_16.01._Mcal._José_Felix_Estigarribia</vt:lpstr>
      <vt:lpstr>_16.02._Filadelfia</vt:lpstr>
      <vt:lpstr>_16.03._Loma_Plata</vt:lpstr>
      <vt:lpstr>_17.01._Fuerte_Olimpo</vt:lpstr>
      <vt:lpstr>_17.02._Puerto_Casado</vt:lpstr>
      <vt:lpstr>_17.03._Bahía_Negra</vt:lpstr>
      <vt:lpstr>_17.04._Carmelo_Peralta</vt:lpstr>
      <vt:lpstr>_4.01_Villarrica</vt:lpstr>
      <vt:lpstr>_4.02._Borja</vt:lpstr>
      <vt:lpstr>_4.03.__Mauiricio_Jose_Troche</vt:lpstr>
      <vt:lpstr>_4.04._Coronel_Martinez</vt:lpstr>
      <vt:lpstr>_4.05._Felix_Perez_Cardozo</vt:lpstr>
      <vt:lpstr>_4.06.__Gral._Eugenio_A._Garay</vt:lpstr>
      <vt:lpstr>_4.07.__Independencia</vt:lpstr>
      <vt:lpstr>_4.08._Itape</vt:lpstr>
      <vt:lpstr>_4.09._Iturbe</vt:lpstr>
      <vt:lpstr>_4.10._Jose_Fassadi</vt:lpstr>
      <vt:lpstr>_4.11._Mbocayaty</vt:lpstr>
      <vt:lpstr>_4.12.__Natalicio_Talavera</vt:lpstr>
      <vt:lpstr>_4.13.__Ñumi</vt:lpstr>
      <vt:lpstr>_4.14._San_Salvador</vt:lpstr>
      <vt:lpstr>_4.15._Yataity_del_Guaira</vt:lpstr>
      <vt:lpstr>_4.16._Dr._Bottrell</vt:lpstr>
      <vt:lpstr>_4.17._Paso_Yobai</vt:lpstr>
      <vt:lpstr>_4.18._Tebicuary</vt:lpstr>
      <vt:lpstr>_4.8._Itape</vt:lpstr>
      <vt:lpstr>_5._02._Caaguazu</vt:lpstr>
      <vt:lpstr>_5.01._Coronel_Oviedo</vt:lpstr>
      <vt:lpstr>_5.03._Carayao</vt:lpstr>
      <vt:lpstr>_5.04._Dc._Cecilio_Baez</vt:lpstr>
      <vt:lpstr>_5.05._Santa_Rosa_del_Mbutuy</vt:lpstr>
      <vt:lpstr>_5.06.__Juan_Manuel_Frutos</vt:lpstr>
      <vt:lpstr>_5.07._Repatriación</vt:lpstr>
      <vt:lpstr>_5.08__Nueva_Londres</vt:lpstr>
      <vt:lpstr>_5.09._San_Joaquin</vt:lpstr>
      <vt:lpstr>_5.10._San_José_de_los_Arroyos</vt:lpstr>
      <vt:lpstr>_5.11._Yhu</vt:lpstr>
      <vt:lpstr>_5.12._Juan_Eulogio_Estigarribia</vt:lpstr>
      <vt:lpstr>_5.13.__R.I._3_Corrales</vt:lpstr>
      <vt:lpstr>_5.14._Raul_Arsenio_Oviedo</vt:lpstr>
      <vt:lpstr>_5.15._Jose_Domingo_Ocampos</vt:lpstr>
      <vt:lpstr>_5.16.__Mcal_Francisco_Solano_Lopez</vt:lpstr>
      <vt:lpstr>_5.17._La_Pastora</vt:lpstr>
      <vt:lpstr>_5.18.__3_de_Febrero</vt:lpstr>
      <vt:lpstr>_5.19._Simon_Bolivar</vt:lpstr>
      <vt:lpstr>_5.20._Vaqueria</vt:lpstr>
      <vt:lpstr>_5.21._Tembiapora</vt:lpstr>
      <vt:lpstr>_5.22._Nueva_Toledo</vt:lpstr>
      <vt:lpstr>_6.01._Caazapá</vt:lpstr>
      <vt:lpstr>_6.02._Abai</vt:lpstr>
      <vt:lpstr>_6.03._Buena_Vista</vt:lpstr>
      <vt:lpstr>_7.18._Mayor_Julio_D._Otaño</vt:lpstr>
      <vt:lpstr>_7.19._San_Cosme_y_Damián</vt:lpstr>
      <vt:lpstr>_9.04._Gral._B._Caballero</vt:lpstr>
      <vt:lpstr>Asunción!Área_de_impresión</vt:lpstr>
      <vt:lpstr>Itapúa!Área_de_impresión</vt:lpstr>
      <vt:lpstr>Asunción!ASUNCIÓN</vt:lpstr>
      <vt:lpstr>Concepción!AZOTE__Y</vt:lpstr>
      <vt:lpstr>Concepción!BELÉN</vt:lpstr>
      <vt:lpstr>Concepción!CONCEPCIÓN</vt:lpstr>
      <vt:lpstr>Concepción!HORQUETA</vt:lpstr>
      <vt:lpstr>Concepción!LORETO</vt:lpstr>
      <vt:lpstr>Concepción!PASO_BARRETO</vt:lpstr>
      <vt:lpstr>Concepción!SAN_ALFREDO</vt:lpstr>
      <vt:lpstr>Concepción!SAN_CARLOS_DEL_APA</vt:lpstr>
      <vt:lpstr>SAN_COSME_Y_DAMIÁN</vt:lpstr>
      <vt:lpstr>Concepción!SAN_LÁZARO</vt:lpstr>
      <vt:lpstr>Concepción!SARGENTO_JOSE_FELIX_LOPEZ</vt:lpstr>
      <vt:lpstr>Concepción!YBY_YAÚ</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fortalecimiento</dc:creator>
  <cp:lastModifiedBy>Oscar Galeano</cp:lastModifiedBy>
  <cp:lastPrinted>2018-07-27T18:53:20Z</cp:lastPrinted>
  <dcterms:created xsi:type="dcterms:W3CDTF">2018-05-22T16:03:22Z</dcterms:created>
  <dcterms:modified xsi:type="dcterms:W3CDTF">2018-09-10T11:50:01Z</dcterms:modified>
</cp:coreProperties>
</file>