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slicers/slicer3.xml" ContentType="application/vnd.ms-excel.slicer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4 Abril\"/>
    </mc:Choice>
  </mc:AlternateContent>
  <xr:revisionPtr revIDLastSave="0" documentId="13_ncr:1_{009E0E2F-483D-4D92-A32D-95A2354D7A16}" xr6:coauthVersionLast="36" xr6:coauthVersionMax="47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  <sheet name="Informe (2)" sheetId="15" state="hidden" r:id="rId7"/>
    <sheet name="Informe (3)" sheetId="17" state="hidden" r:id="rId8"/>
  </sheets>
  <externalReferences>
    <externalReference r:id="rId9"/>
  </externalReferences>
  <definedNames>
    <definedName name="_xlnm.Print_Area" localSheetId="1">'1'!$A$1:$H$105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9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3" l="1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B38" i="17" l="1"/>
  <c r="B37" i="17"/>
  <c r="B36" i="17"/>
  <c r="B35" i="17"/>
  <c r="B34" i="17"/>
  <c r="B33" i="17"/>
  <c r="F14" i="17"/>
  <c r="F13" i="17"/>
  <c r="F12" i="17"/>
  <c r="F11" i="17"/>
  <c r="U35" i="10"/>
  <c r="O15" i="15" s="1"/>
  <c r="T35" i="10"/>
  <c r="P15" i="15" s="1"/>
  <c r="Q15" i="15" s="1"/>
  <c r="B37" i="15" l="1"/>
  <c r="B36" i="15"/>
  <c r="B35" i="15"/>
  <c r="B34" i="15"/>
  <c r="B33" i="15"/>
  <c r="B32" i="15"/>
  <c r="F14" i="15"/>
  <c r="F13" i="15"/>
  <c r="F12" i="15"/>
  <c r="F11" i="15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T41" i="10" s="1"/>
  <c r="V39" i="10" l="1"/>
  <c r="F12" i="13" l="1"/>
  <c r="E101" i="13" l="1"/>
  <c r="E102" i="13"/>
  <c r="U17" i="10" l="1"/>
  <c r="T17" i="10"/>
  <c r="U19" i="10"/>
  <c r="T19" i="10"/>
  <c r="U18" i="10"/>
  <c r="T18" i="10"/>
  <c r="G13" i="15" l="1"/>
  <c r="G13" i="17"/>
  <c r="O13" i="15"/>
  <c r="G14" i="15"/>
  <c r="O14" i="15"/>
  <c r="O16" i="15" s="1"/>
  <c r="G14" i="17"/>
  <c r="H12" i="15"/>
  <c r="P12" i="15"/>
  <c r="H12" i="17"/>
  <c r="G12" i="15"/>
  <c r="O12" i="15"/>
  <c r="G12" i="17"/>
  <c r="H14" i="15"/>
  <c r="P14" i="15"/>
  <c r="H14" i="17"/>
  <c r="H13" i="15"/>
  <c r="P13" i="15"/>
  <c r="Q13" i="15" s="1"/>
  <c r="H13" i="17"/>
  <c r="I13" i="15"/>
  <c r="I14" i="15"/>
  <c r="T8" i="10"/>
  <c r="T6" i="10"/>
  <c r="E22" i="17" s="1"/>
  <c r="U11" i="10"/>
  <c r="T11" i="10"/>
  <c r="E10" i="17" s="1"/>
  <c r="U6" i="10"/>
  <c r="U8" i="10"/>
  <c r="I13" i="17" l="1"/>
  <c r="I12" i="15"/>
  <c r="I14" i="17"/>
  <c r="I12" i="17"/>
  <c r="P16" i="15"/>
  <c r="Q16" i="15" s="1"/>
  <c r="Q14" i="15"/>
  <c r="Q12" i="15"/>
  <c r="F16" i="13"/>
  <c r="F35" i="13"/>
  <c r="F72" i="13"/>
  <c r="F74" i="13"/>
  <c r="F75" i="13"/>
  <c r="F81" i="13"/>
  <c r="F83" i="13"/>
  <c r="F90" i="13"/>
  <c r="F94" i="13"/>
  <c r="F97" i="13"/>
  <c r="B102" i="13" l="1"/>
  <c r="B101" i="13"/>
  <c r="C101" i="13" l="1"/>
  <c r="D101" i="13" s="1"/>
  <c r="C102" i="13" l="1"/>
  <c r="D102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6" i="13" s="1"/>
  <c r="N96" i="14"/>
  <c r="N94" i="14"/>
  <c r="F93" i="13" s="1"/>
  <c r="N93" i="14"/>
  <c r="F92" i="13" s="1"/>
  <c r="N92" i="14"/>
  <c r="F91" i="13" s="1"/>
  <c r="N90" i="14"/>
  <c r="F89" i="13" s="1"/>
  <c r="N89" i="14"/>
  <c r="N86" i="14"/>
  <c r="N85" i="14"/>
  <c r="N81" i="14"/>
  <c r="F80" i="13" s="1"/>
  <c r="N80" i="14"/>
  <c r="N77" i="14"/>
  <c r="N71" i="14"/>
  <c r="N68" i="14"/>
  <c r="F67" i="13" s="1"/>
  <c r="N60" i="14"/>
  <c r="N57" i="14"/>
  <c r="N53" i="14"/>
  <c r="F52" i="13" s="1"/>
  <c r="N52" i="14"/>
  <c r="N51" i="14"/>
  <c r="N49" i="14"/>
  <c r="N45" i="14"/>
  <c r="F44" i="13" s="1"/>
  <c r="N40" i="14"/>
  <c r="N33" i="14"/>
  <c r="F32" i="13" s="1"/>
  <c r="N28" i="14"/>
  <c r="N25" i="14"/>
  <c r="N24" i="14"/>
  <c r="F23" i="13" s="1"/>
  <c r="N21" i="14"/>
  <c r="N16" i="14"/>
  <c r="F15" i="13" s="1"/>
  <c r="N99" i="14"/>
  <c r="F98" i="13" s="1"/>
  <c r="N78" i="14"/>
  <c r="F77" i="13" s="1"/>
  <c r="N74" i="14"/>
  <c r="N70" i="14"/>
  <c r="F69" i="13" s="1"/>
  <c r="N66" i="14"/>
  <c r="N62" i="14"/>
  <c r="F61" i="13" s="1"/>
  <c r="N58" i="14"/>
  <c r="F57" i="13" s="1"/>
  <c r="N54" i="14"/>
  <c r="N50" i="14"/>
  <c r="N42" i="14"/>
  <c r="F41" i="13" s="1"/>
  <c r="N38" i="14"/>
  <c r="N34" i="14"/>
  <c r="F33" i="13" s="1"/>
  <c r="N30" i="14"/>
  <c r="F29" i="13" s="1"/>
  <c r="N26" i="14"/>
  <c r="N22" i="14"/>
  <c r="F21" i="13" s="1"/>
  <c r="N18" i="14"/>
  <c r="F17" i="13" s="1"/>
  <c r="N12" i="14"/>
  <c r="F11" i="13" s="1"/>
  <c r="C99" i="13"/>
  <c r="C98" i="13"/>
  <c r="H14" i="12"/>
  <c r="U12" i="10"/>
  <c r="T12" i="10"/>
  <c r="E13" i="17" s="1"/>
  <c r="U7" i="10"/>
  <c r="T7" i="10"/>
  <c r="E25" i="17" s="1"/>
  <c r="U5" i="10"/>
  <c r="T5" i="10"/>
  <c r="D25" i="17" s="1"/>
  <c r="U10" i="10"/>
  <c r="T10" i="10"/>
  <c r="D13" i="17" s="1"/>
  <c r="U9" i="10"/>
  <c r="T9" i="10"/>
  <c r="D10" i="17" s="1"/>
  <c r="P6" i="3"/>
  <c r="W6" i="3" s="1"/>
  <c r="P5" i="3"/>
  <c r="W5" i="3" s="1"/>
  <c r="D95" i="13"/>
  <c r="D87" i="13"/>
  <c r="D78" i="13"/>
  <c r="H70" i="13"/>
  <c r="D62" i="13"/>
  <c r="D54" i="13"/>
  <c r="D46" i="13"/>
  <c r="D30" i="13"/>
  <c r="D22" i="13"/>
  <c r="F99" i="13"/>
  <c r="D93" i="13"/>
  <c r="D92" i="13"/>
  <c r="D91" i="13"/>
  <c r="D89" i="13"/>
  <c r="D88" i="13"/>
  <c r="H86" i="13"/>
  <c r="D86" i="13"/>
  <c r="D85" i="13"/>
  <c r="D84" i="13"/>
  <c r="D80" i="13"/>
  <c r="D70" i="13"/>
  <c r="D69" i="13"/>
  <c r="D68" i="13"/>
  <c r="D67" i="13"/>
  <c r="D66" i="13"/>
  <c r="D65" i="13"/>
  <c r="D61" i="13"/>
  <c r="D60" i="13"/>
  <c r="D59" i="13"/>
  <c r="D58" i="13"/>
  <c r="D57" i="13"/>
  <c r="D53" i="13"/>
  <c r="D52" i="13"/>
  <c r="D51" i="13"/>
  <c r="D50" i="13"/>
  <c r="H50" i="13"/>
  <c r="D49" i="13"/>
  <c r="H48" i="13"/>
  <c r="H46" i="13"/>
  <c r="D45" i="13"/>
  <c r="D44" i="13"/>
  <c r="D43" i="13"/>
  <c r="D42" i="13"/>
  <c r="D41" i="13"/>
  <c r="D37" i="13"/>
  <c r="D36" i="13"/>
  <c r="D34" i="13"/>
  <c r="D31" i="13"/>
  <c r="D29" i="13"/>
  <c r="D28" i="13"/>
  <c r="D26" i="13"/>
  <c r="D23" i="13"/>
  <c r="H22" i="13"/>
  <c r="D21" i="13"/>
  <c r="D20" i="13"/>
  <c r="D18" i="13"/>
  <c r="D15" i="13"/>
  <c r="F14" i="13"/>
  <c r="D11" i="13"/>
  <c r="B37" i="12"/>
  <c r="B36" i="12"/>
  <c r="B35" i="12"/>
  <c r="B34" i="12"/>
  <c r="B33" i="12"/>
  <c r="B32" i="12"/>
  <c r="F14" i="12"/>
  <c r="F13" i="12"/>
  <c r="F12" i="12"/>
  <c r="F11" i="12"/>
  <c r="N41" i="14"/>
  <c r="F40" i="13" s="1"/>
  <c r="N65" i="14"/>
  <c r="F64" i="13" s="1"/>
  <c r="N44" i="14"/>
  <c r="N46" i="14"/>
  <c r="F45" i="13" s="1"/>
  <c r="N87" i="14"/>
  <c r="D38" i="13"/>
  <c r="D19" i="13"/>
  <c r="D32" i="13"/>
  <c r="N19" i="14"/>
  <c r="F18" i="13" s="1"/>
  <c r="D47" i="13"/>
  <c r="D39" i="13"/>
  <c r="D96" i="13"/>
  <c r="D63" i="13"/>
  <c r="D27" i="13"/>
  <c r="D71" i="13"/>
  <c r="D13" i="13"/>
  <c r="D76" i="13"/>
  <c r="D55" i="13"/>
  <c r="D24" i="13"/>
  <c r="D17" i="13"/>
  <c r="D25" i="13"/>
  <c r="H26" i="13"/>
  <c r="D33" i="13"/>
  <c r="D40" i="13"/>
  <c r="D48" i="13"/>
  <c r="H49" i="13"/>
  <c r="D56" i="13"/>
  <c r="D64" i="13"/>
  <c r="D77" i="13"/>
  <c r="U32" i="10"/>
  <c r="U31" i="10"/>
  <c r="T31" i="10"/>
  <c r="U30" i="10"/>
  <c r="U41" i="10" s="1"/>
  <c r="U29" i="10"/>
  <c r="T29" i="10"/>
  <c r="U28" i="10"/>
  <c r="T28" i="10"/>
  <c r="U27" i="10"/>
  <c r="T27" i="10"/>
  <c r="U26" i="10"/>
  <c r="C38" i="17" s="1"/>
  <c r="T26" i="10"/>
  <c r="D38" i="17" s="1"/>
  <c r="U25" i="10"/>
  <c r="C37" i="17" s="1"/>
  <c r="T25" i="10"/>
  <c r="D37" i="17" s="1"/>
  <c r="E37" i="17" s="1"/>
  <c r="U24" i="10"/>
  <c r="C36" i="17" s="1"/>
  <c r="T24" i="10"/>
  <c r="D36" i="17" s="1"/>
  <c r="E36" i="17" s="1"/>
  <c r="U23" i="10"/>
  <c r="C35" i="17" s="1"/>
  <c r="T23" i="10"/>
  <c r="D35" i="17" s="1"/>
  <c r="U22" i="10"/>
  <c r="C34" i="17" s="1"/>
  <c r="T22" i="10"/>
  <c r="D34" i="17" s="1"/>
  <c r="E34" i="17" s="1"/>
  <c r="U21" i="10"/>
  <c r="C33" i="17" s="1"/>
  <c r="T21" i="10"/>
  <c r="D33" i="17" s="1"/>
  <c r="E33" i="17" s="1"/>
  <c r="U20" i="10"/>
  <c r="C32" i="17" s="1"/>
  <c r="T20" i="10"/>
  <c r="D32" i="17" s="1"/>
  <c r="G13" i="12"/>
  <c r="H13" i="12"/>
  <c r="G12" i="12"/>
  <c r="H12" i="12"/>
  <c r="U16" i="10"/>
  <c r="T16" i="10"/>
  <c r="U15" i="10"/>
  <c r="T15" i="10"/>
  <c r="U14" i="10"/>
  <c r="T14" i="10"/>
  <c r="U13" i="10"/>
  <c r="T13" i="10"/>
  <c r="U4" i="10"/>
  <c r="T4" i="10"/>
  <c r="D22" i="17" s="1"/>
  <c r="P10" i="15" l="1"/>
  <c r="H10" i="17"/>
  <c r="E32" i="17"/>
  <c r="E38" i="17"/>
  <c r="O10" i="15"/>
  <c r="G10" i="17"/>
  <c r="D9" i="17"/>
  <c r="H9" i="17"/>
  <c r="D31" i="17"/>
  <c r="H11" i="17"/>
  <c r="I11" i="17" s="1"/>
  <c r="P11" i="15"/>
  <c r="Q11" i="15" s="1"/>
  <c r="G9" i="17"/>
  <c r="C31" i="17"/>
  <c r="G11" i="17"/>
  <c r="O11" i="15"/>
  <c r="E35" i="17"/>
  <c r="C36" i="12"/>
  <c r="C36" i="15"/>
  <c r="D31" i="12"/>
  <c r="D31" i="15"/>
  <c r="D37" i="12"/>
  <c r="D37" i="15"/>
  <c r="C31" i="12"/>
  <c r="C31" i="15"/>
  <c r="C37" i="12"/>
  <c r="C37" i="15"/>
  <c r="X9" i="15"/>
  <c r="D30" i="15"/>
  <c r="P9" i="15"/>
  <c r="H9" i="15"/>
  <c r="D32" i="12"/>
  <c r="D32" i="15"/>
  <c r="C30" i="15"/>
  <c r="W9" i="15"/>
  <c r="O9" i="15"/>
  <c r="G9" i="15"/>
  <c r="C32" i="12"/>
  <c r="C32" i="15"/>
  <c r="D33" i="12"/>
  <c r="D33" i="15"/>
  <c r="C33" i="12"/>
  <c r="C33" i="15"/>
  <c r="D34" i="12"/>
  <c r="D34" i="15"/>
  <c r="C34" i="12"/>
  <c r="C34" i="15"/>
  <c r="D35" i="12"/>
  <c r="D35" i="15"/>
  <c r="E35" i="15" s="1"/>
  <c r="C35" i="12"/>
  <c r="C35" i="15"/>
  <c r="D36" i="12"/>
  <c r="D36" i="15"/>
  <c r="E36" i="15" s="1"/>
  <c r="H10" i="12"/>
  <c r="H10" i="15"/>
  <c r="G10" i="12"/>
  <c r="G10" i="15"/>
  <c r="H11" i="12"/>
  <c r="H11" i="15"/>
  <c r="G11" i="12"/>
  <c r="G11" i="15"/>
  <c r="D30" i="12"/>
  <c r="H9" i="12"/>
  <c r="G9" i="12"/>
  <c r="C30" i="12"/>
  <c r="V37" i="10"/>
  <c r="F65" i="13"/>
  <c r="G65" i="13" s="1"/>
  <c r="F84" i="13"/>
  <c r="G84" i="13" s="1"/>
  <c r="F86" i="13"/>
  <c r="G86" i="13" s="1"/>
  <c r="F48" i="13"/>
  <c r="G48" i="13" s="1"/>
  <c r="F85" i="13"/>
  <c r="H85" i="13" s="1"/>
  <c r="F73" i="13"/>
  <c r="F50" i="13"/>
  <c r="G50" i="13" s="1"/>
  <c r="F88" i="13"/>
  <c r="H88" i="13" s="1"/>
  <c r="F43" i="13"/>
  <c r="G43" i="13" s="1"/>
  <c r="F25" i="13"/>
  <c r="G25" i="13" s="1"/>
  <c r="F51" i="13"/>
  <c r="H51" i="13" s="1"/>
  <c r="F56" i="13"/>
  <c r="H56" i="13" s="1"/>
  <c r="F37" i="13"/>
  <c r="G37" i="13" s="1"/>
  <c r="F20" i="13"/>
  <c r="G20" i="13" s="1"/>
  <c r="F59" i="13"/>
  <c r="G59" i="13" s="1"/>
  <c r="F95" i="13"/>
  <c r="H95" i="13" s="1"/>
  <c r="F49" i="13"/>
  <c r="G49" i="13" s="1"/>
  <c r="F24" i="13"/>
  <c r="G24" i="13" s="1"/>
  <c r="F70" i="13"/>
  <c r="G70" i="13" s="1"/>
  <c r="F53" i="13"/>
  <c r="G53" i="13" s="1"/>
  <c r="F27" i="13"/>
  <c r="H27" i="13" s="1"/>
  <c r="F76" i="13"/>
  <c r="H76" i="13" s="1"/>
  <c r="F79" i="13"/>
  <c r="H79" i="13" s="1"/>
  <c r="F39" i="13"/>
  <c r="G39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7" s="1"/>
  <c r="V29" i="10"/>
  <c r="G41" i="13"/>
  <c r="H41" i="13"/>
  <c r="H69" i="13"/>
  <c r="G69" i="13"/>
  <c r="H15" i="13"/>
  <c r="G15" i="13"/>
  <c r="G44" i="13"/>
  <c r="H44" i="13"/>
  <c r="H91" i="13"/>
  <c r="G96" i="13"/>
  <c r="H96" i="13"/>
  <c r="G18" i="13"/>
  <c r="H18" i="13"/>
  <c r="H29" i="13"/>
  <c r="G29" i="13"/>
  <c r="G32" i="13"/>
  <c r="H32" i="13"/>
  <c r="N14" i="14"/>
  <c r="F13" i="13" s="1"/>
  <c r="N23" i="14"/>
  <c r="N27" i="14"/>
  <c r="N35" i="14"/>
  <c r="N39" i="14"/>
  <c r="N43" i="14"/>
  <c r="N47" i="14"/>
  <c r="N55" i="14"/>
  <c r="N59" i="14"/>
  <c r="N63" i="14"/>
  <c r="F62" i="13" s="1"/>
  <c r="N67" i="14"/>
  <c r="N79" i="14"/>
  <c r="N88" i="14"/>
  <c r="N20" i="14"/>
  <c r="F19" i="13" s="1"/>
  <c r="N32" i="14"/>
  <c r="F31" i="13" s="1"/>
  <c r="N48" i="14"/>
  <c r="F47" i="13" s="1"/>
  <c r="N56" i="14"/>
  <c r="F55" i="13" s="1"/>
  <c r="N64" i="14"/>
  <c r="F63" i="13" s="1"/>
  <c r="N72" i="14"/>
  <c r="F71" i="13" s="1"/>
  <c r="N29" i="14"/>
  <c r="N31" i="14"/>
  <c r="F30" i="13" s="1"/>
  <c r="N37" i="14"/>
  <c r="F36" i="13" s="1"/>
  <c r="N61" i="14"/>
  <c r="F60" i="13" s="1"/>
  <c r="N69" i="14"/>
  <c r="F68" i="13" s="1"/>
  <c r="I10" i="12"/>
  <c r="I12" i="12"/>
  <c r="E31" i="12"/>
  <c r="E33" i="12"/>
  <c r="E35" i="12"/>
  <c r="E37" i="12"/>
  <c r="R5" i="3"/>
  <c r="X5" i="3" s="1"/>
  <c r="R6" i="3"/>
  <c r="X6" i="3" s="1"/>
  <c r="U33" i="10"/>
  <c r="V23" i="10"/>
  <c r="V15" i="10"/>
  <c r="V31" i="10"/>
  <c r="V25" i="10"/>
  <c r="V13" i="10"/>
  <c r="E32" i="12"/>
  <c r="E34" i="12"/>
  <c r="E36" i="12"/>
  <c r="I11" i="12"/>
  <c r="I13" i="12"/>
  <c r="V14" i="10"/>
  <c r="V18" i="10"/>
  <c r="V22" i="10"/>
  <c r="V24" i="10"/>
  <c r="V26" i="10"/>
  <c r="V20" i="10"/>
  <c r="G11" i="13"/>
  <c r="H11" i="13"/>
  <c r="H92" i="13"/>
  <c r="G57" i="13"/>
  <c r="H57" i="13"/>
  <c r="H33" i="13"/>
  <c r="G33" i="13"/>
  <c r="H89" i="13"/>
  <c r="G89" i="13"/>
  <c r="G52" i="13"/>
  <c r="H52" i="13"/>
  <c r="G40" i="13"/>
  <c r="H40" i="13"/>
  <c r="H21" i="13"/>
  <c r="G21" i="13"/>
  <c r="G61" i="13"/>
  <c r="H61" i="13"/>
  <c r="H23" i="13"/>
  <c r="G23" i="13"/>
  <c r="H93" i="13"/>
  <c r="G77" i="13"/>
  <c r="H77" i="13"/>
  <c r="H67" i="13"/>
  <c r="G67" i="13"/>
  <c r="G45" i="13"/>
  <c r="H45" i="13"/>
  <c r="G17" i="13"/>
  <c r="H17" i="13"/>
  <c r="G64" i="13"/>
  <c r="H64" i="13"/>
  <c r="G80" i="13"/>
  <c r="E33" i="15" l="1"/>
  <c r="I10" i="17"/>
  <c r="Q10" i="15"/>
  <c r="E37" i="15"/>
  <c r="E34" i="15"/>
  <c r="E32" i="15"/>
  <c r="E31" i="15"/>
  <c r="B6" i="12"/>
  <c r="B6" i="15"/>
  <c r="I11" i="15"/>
  <c r="I10" i="15"/>
  <c r="T43" i="10"/>
  <c r="T44" i="10"/>
  <c r="H43" i="13"/>
  <c r="G27" i="13"/>
  <c r="H20" i="13"/>
  <c r="H39" i="13"/>
  <c r="H53" i="13"/>
  <c r="H25" i="13"/>
  <c r="G51" i="13"/>
  <c r="H37" i="13"/>
  <c r="H65" i="13"/>
  <c r="H84" i="13"/>
  <c r="G95" i="13"/>
  <c r="G56" i="13"/>
  <c r="H59" i="13"/>
  <c r="G76" i="13"/>
  <c r="H24" i="13"/>
  <c r="G85" i="13"/>
  <c r="G88" i="13"/>
  <c r="F102" i="13"/>
  <c r="F66" i="13"/>
  <c r="G66" i="13" s="1"/>
  <c r="F58" i="13"/>
  <c r="H58" i="13" s="1"/>
  <c r="F54" i="13"/>
  <c r="G54" i="13" s="1"/>
  <c r="F46" i="13"/>
  <c r="G46" i="13" s="1"/>
  <c r="F42" i="13"/>
  <c r="G42" i="13" s="1"/>
  <c r="F38" i="13"/>
  <c r="G38" i="13" s="1"/>
  <c r="F34" i="13"/>
  <c r="G34" i="13" s="1"/>
  <c r="F28" i="13"/>
  <c r="G28" i="13" s="1"/>
  <c r="F26" i="13"/>
  <c r="G26" i="13" s="1"/>
  <c r="F22" i="13"/>
  <c r="G22" i="13" s="1"/>
  <c r="F87" i="13"/>
  <c r="G87" i="13" s="1"/>
  <c r="G13" i="13"/>
  <c r="F78" i="13"/>
  <c r="G78" i="13" s="1"/>
  <c r="F101" i="13"/>
  <c r="H30" i="13"/>
  <c r="G30" i="13"/>
  <c r="G55" i="13"/>
  <c r="H55" i="13"/>
  <c r="H68" i="13"/>
  <c r="G68" i="13"/>
  <c r="G47" i="13"/>
  <c r="H47" i="13"/>
  <c r="H60" i="13"/>
  <c r="G60" i="13"/>
  <c r="G71" i="13"/>
  <c r="H71" i="13"/>
  <c r="G31" i="13"/>
  <c r="H31" i="13"/>
  <c r="H36" i="13"/>
  <c r="G36" i="13"/>
  <c r="G63" i="13"/>
  <c r="H63" i="13"/>
  <c r="G19" i="13"/>
  <c r="H19" i="13"/>
  <c r="H62" i="13"/>
  <c r="G62" i="13"/>
  <c r="G102" i="13" l="1"/>
  <c r="H102" i="13"/>
  <c r="G58" i="13"/>
  <c r="H78" i="13"/>
  <c r="H66" i="13"/>
  <c r="H54" i="13"/>
  <c r="H42" i="13"/>
  <c r="H38" i="13"/>
  <c r="H87" i="13"/>
  <c r="H28" i="13"/>
  <c r="H34" i="13"/>
  <c r="H13" i="13"/>
  <c r="H101" i="13"/>
  <c r="G10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T41" authorId="0" shapeId="0" xr:uid="{3F1141A5-8DB5-4D50-82BA-90C27DADC142}">
      <text>
        <r>
          <rPr>
            <sz val="9"/>
            <color indexed="81"/>
            <rFont val="Tahoma"/>
            <family val="2"/>
          </rPr>
          <t>Ajustado para hacer coincidir decimales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abril 2025</t>
        </r>
      </text>
    </comment>
  </commentList>
</comments>
</file>

<file path=xl/sharedStrings.xml><?xml version="1.0" encoding="utf-8"?>
<sst xmlns="http://schemas.openxmlformats.org/spreadsheetml/2006/main" count="521" uniqueCount="225">
  <si>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</si>
  <si>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</si>
  <si>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</si>
  <si>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</si>
  <si>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</si>
  <si>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</si>
  <si>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</si>
  <si>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</si>
  <si>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</si>
  <si>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</si>
  <si>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</si>
  <si>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</si>
  <si>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</si>
  <si>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</si>
  <si>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</si>
  <si>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</si>
  <si>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</si>
  <si>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</si>
  <si>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</si>
  <si>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</si>
  <si>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</si>
  <si>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</si>
  <si>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</si>
  <si>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</si>
  <si>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</si>
  <si>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</si>
  <si>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</si>
  <si>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</si>
  <si>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</si>
  <si>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</si>
  <si>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</si>
  <si>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</si>
  <si>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</si>
  <si>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</si>
  <si>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</si>
  <si>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</si>
  <si>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</si>
  <si>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</si>
  <si>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</si>
  <si>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</si>
  <si>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</si>
  <si>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</si>
  <si>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</si>
  <si>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</si>
  <si>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</si>
  <si>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</si>
  <si>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</si>
  <si>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</si>
  <si>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</si>
  <si>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</si>
  <si>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</si>
  <si>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</si>
  <si>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</si>
  <si>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</si>
  <si>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</si>
  <si>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</si>
  <si>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</si>
  <si>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</si>
  <si>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</si>
  <si>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</si>
  <si>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</si>
  <si>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</si>
  <si>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</si>
  <si>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</si>
  <si>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</si>
  <si>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</si>
  <si>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</si>
  <si>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</si>
  <si>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</si>
  <si>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</si>
  <si>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</si>
  <si>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</si>
  <si>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</si>
  <si>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</si>
  <si>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</si>
  <si>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</si>
  <si>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</si>
  <si>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</si>
  <si>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</si>
  <si>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</si>
  <si>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</si>
  <si>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</si>
  <si>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</si>
  <si>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</si>
  <si>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</si>
  <si>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</si>
  <si>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</si>
  <si>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</si>
  <si>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</si>
  <si>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</si>
  <si>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</si>
  <si>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</si>
  <si>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Binacionales</t>
  </si>
  <si>
    <t>Resultado Primario</t>
  </si>
  <si>
    <t xml:space="preserve">Ingresos Tributarios </t>
  </si>
  <si>
    <t xml:space="preserve">Binacionales </t>
  </si>
  <si>
    <t xml:space="preserve">Ingreso Total </t>
  </si>
  <si>
    <t>Nro. Mes</t>
  </si>
  <si>
    <t>Ingreso Total</t>
  </si>
  <si>
    <t>Último periodo</t>
  </si>
  <si>
    <t>Periodo anterior</t>
  </si>
  <si>
    <t>% Var.</t>
  </si>
  <si>
    <t>% Var</t>
  </si>
  <si>
    <t xml:space="preserve">Itaipú </t>
  </si>
  <si>
    <t xml:space="preserve">Yacyretá 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</si>
  <si>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</si>
  <si>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</si>
  <si>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</si>
  <si>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</si>
  <si>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</si>
  <si>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</si>
  <si>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</si>
  <si>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</si>
  <si>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</si>
  <si>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</si>
  <si>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</si>
  <si>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</si>
  <si>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</si>
  <si>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</si>
  <si>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</si>
  <si>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</si>
  <si>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</si>
  <si>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</si>
  <si>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</si>
  <si>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</si>
  <si>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</si>
  <si>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</si>
  <si>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</si>
  <si>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</si>
  <si>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</si>
  <si>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</si>
  <si>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</si>
  <si>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</si>
  <si>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</si>
  <si>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</si>
  <si>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</si>
  <si>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</si>
  <si>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</si>
  <si>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</si>
  <si>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</si>
  <si>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</si>
  <si>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</si>
  <si>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</si>
  <si>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</si>
  <si>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</si>
  <si>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</si>
  <si>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</si>
  <si>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</si>
  <si>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</si>
  <si>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</si>
  <si>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</si>
  <si>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</si>
  <si>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</si>
  <si>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</si>
  <si>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</si>
  <si>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</si>
  <si>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</si>
  <si>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</si>
  <si>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</si>
  <si>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</si>
  <si>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</si>
  <si>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</si>
  <si>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</si>
  <si>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</si>
  <si>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</si>
  <si>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</si>
  <si>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</si>
  <si>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</si>
  <si>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</si>
  <si>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</si>
  <si>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</si>
  <si>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</si>
  <si>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</si>
  <si>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</si>
  <si>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</si>
  <si>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</si>
  <si>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</si>
  <si>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</si>
  <si>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</si>
  <si>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</si>
  <si>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</si>
  <si>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</si>
  <si>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</si>
  <si>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</si>
  <si>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</si>
  <si>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</si>
  <si>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</si>
  <si>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</si>
  <si>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</si>
  <si>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</si>
  <si>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</si>
  <si>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</si>
  <si>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</si>
  <si>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</si>
  <si>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</si>
  <si>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</si>
  <si>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</si>
  <si>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</si>
  <si>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</si>
  <si>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</si>
  <si>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</si>
  <si>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</si>
  <si>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</si>
  <si>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</si>
  <si>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</si>
  <si>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</si>
  <si>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</si>
  <si>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</si>
  <si>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</si>
  <si>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</si>
  <si>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</si>
  <si>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</si>
  <si>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</si>
  <si>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 xml:space="preserve"> </t>
  </si>
  <si>
    <t>Var. %</t>
  </si>
  <si>
    <t>% PIB</t>
  </si>
  <si>
    <t>Ingresos</t>
  </si>
  <si>
    <t>Causas</t>
  </si>
  <si>
    <t>Gastos</t>
  </si>
  <si>
    <t>Multas, tasas y otros</t>
  </si>
  <si>
    <t>Ingresos de Binacionales (miles de millones PYG)</t>
  </si>
  <si>
    <t>Anualizado</t>
  </si>
  <si>
    <t>Millones USD</t>
  </si>
  <si>
    <t>Ejecución
Ene-Abr
2024</t>
  </si>
  <si>
    <t>Ejecución
Ene-Abr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</si>
</sst>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2" formatCode="0.0%;[Red]0.0%"/>
    <numFmt numFmtId="183" formatCode="#,##0.0000"/>
    <numFmt numFmtId="184" formatCode="#,##0.0\ [$USD]"/>
    <numFmt numFmtId="185" formatCode="0.0%;[White]0.0%"/>
    <numFmt numFmtId="186" formatCode="[$USD]\ #,##0.0;[$USD]\ \-#,##0.0"/>
    <numFmt numFmtId="189" formatCode="[$PYG]\ #,##0.0;[$PYG]\ \-#,##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gradientFill degree="90">
        <stop position="0">
          <color rgb="FF70A83B"/>
        </stop>
        <stop position="1">
          <color rgb="FF50792B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EE8254"/>
        </stop>
        <stop position="1">
          <color theme="5" tint="-0.25098422193060094"/>
        </stop>
      </gradient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3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4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6" fillId="0" borderId="0" xfId="6" quotePrefix="1" applyNumberFormat="1" applyFont="1" applyAlignment="1">
      <alignment vertical="center"/>
    </xf>
    <xf numFmtId="3" fontId="46" fillId="0" borderId="0" xfId="6" quotePrefix="1" applyNumberFormat="1" applyFont="1" applyAlignment="1">
      <alignment horizontal="left" vertical="center"/>
    </xf>
    <xf numFmtId="182" fontId="47" fillId="0" borderId="0" xfId="1" applyNumberFormat="1" applyFont="1" applyBorder="1" applyAlignment="1">
      <alignment horizontal="right"/>
    </xf>
    <xf numFmtId="185" fontId="47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8" fillId="0" borderId="0" xfId="6" applyFont="1"/>
    <xf numFmtId="168" fontId="45" fillId="0" borderId="0" xfId="0" applyNumberFormat="1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6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71" fontId="0" fillId="0" borderId="0" xfId="0" applyNumberFormat="1"/>
    <xf numFmtId="186" fontId="0" fillId="0" borderId="0" xfId="0" applyNumberFormat="1"/>
    <xf numFmtId="189" fontId="0" fillId="0" borderId="0" xfId="1" applyNumberFormat="1" applyFont="1" applyBorder="1"/>
    <xf numFmtId="17" fontId="0" fillId="0" borderId="4" xfId="0" applyNumberFormat="1" applyBorder="1"/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25" fillId="0" borderId="0" xfId="2" applyNumberFormat="1" applyFont="1"/>
    <xf numFmtId="3" fontId="0" fillId="0" borderId="4" xfId="0" applyNumberFormat="1" applyFill="1" applyBorder="1"/>
    <xf numFmtId="186" fontId="0" fillId="0" borderId="16" xfId="0" applyNumberFormat="1" applyFill="1" applyBorder="1"/>
    <xf numFmtId="0" fontId="23" fillId="0" borderId="0" xfId="2" applyNumberFormat="1" applyFont="1" applyBorder="1" applyAlignment="1">
      <alignment horizontal="center" vertical="center"/>
    </xf>
    <xf numFmtId="3" fontId="3" fillId="0" borderId="17" xfId="2" applyBorder="1"/>
    <xf numFmtId="0" fontId="23" fillId="0" borderId="0" xfId="2" applyNumberFormat="1" applyFont="1" applyBorder="1" applyAlignment="1">
      <alignment horizontal="center" vertical="center" wrapText="1"/>
    </xf>
    <xf numFmtId="3" fontId="25" fillId="0" borderId="0" xfId="2" applyFont="1" applyAlignment="1">
      <alignment horizontal="left" indent="3"/>
    </xf>
    <xf numFmtId="3" fontId="25" fillId="0" borderId="11" xfId="2" applyFont="1" applyBorder="1" applyAlignment="1">
      <alignment horizontal="left" indent="3"/>
    </xf>
    <xf numFmtId="3" fontId="52" fillId="0" borderId="0" xfId="2" applyFont="1" applyAlignment="1">
      <alignment horizont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  <xf numFmtId="3" fontId="51" fillId="9" borderId="0" xfId="2" applyFont="1" applyFill="1" applyAlignment="1">
      <alignment horizontal="center" vertical="center"/>
    </xf>
    <xf numFmtId="3" fontId="3" fillId="9" borderId="0" xfId="2" applyFill="1" applyAlignment="1">
      <alignment horizontal="left" vertical="center"/>
    </xf>
    <xf numFmtId="3" fontId="50" fillId="8" borderId="0" xfId="2" applyFont="1" applyFill="1" applyAlignment="1">
      <alignment horizontal="left"/>
    </xf>
    <xf numFmtId="3" fontId="51" fillId="7" borderId="0" xfId="2" applyFont="1" applyFill="1" applyAlignment="1">
      <alignment horizontal="center" vertical="center"/>
    </xf>
    <xf numFmtId="3" fontId="3" fillId="7" borderId="0" xfId="2" applyFill="1" applyAlignment="1">
      <alignment horizontal="left" vertical="center"/>
    </xf>
    <xf numFmtId="3" fontId="3" fillId="0" borderId="0" xfId="2" applyFont="1" applyBorder="1" applyAlignment="1">
      <alignment horizontal="left" vertical="center" wrapText="1"/>
    </xf>
    <xf numFmtId="3" fontId="44" fillId="3" borderId="0" xfId="2" applyFont="1" applyFill="1" applyBorder="1" applyAlignment="1">
      <alignment horizontal="left" vertical="center"/>
    </xf>
    <xf numFmtId="168" fontId="3" fillId="0" borderId="0" xfId="2" applyNumberFormat="1" applyBorder="1" applyAlignment="1">
      <alignment horizontal="center" vertical="center"/>
    </xf>
    <xf numFmtId="171" fontId="44" fillId="3" borderId="0" xfId="1" applyNumberFormat="1" applyFont="1" applyFill="1" applyBorder="1" applyAlignment="1">
      <alignment horizontal="center" vertical="center"/>
    </xf>
    <xf numFmtId="168" fontId="44" fillId="3" borderId="0" xfId="2" applyNumberFormat="1" applyFont="1" applyFill="1" applyBorder="1" applyAlignment="1">
      <alignment horizontal="center" vertical="center"/>
    </xf>
    <xf numFmtId="3" fontId="3" fillId="0" borderId="0" xfId="2" applyBorder="1" applyAlignment="1">
      <alignment horizontal="center" vertical="center"/>
    </xf>
    <xf numFmtId="3" fontId="3" fillId="3" borderId="0" xfId="2" applyFill="1" applyBorder="1" applyAlignment="1">
      <alignment horizontal="center" vertical="center"/>
    </xf>
    <xf numFmtId="3" fontId="44" fillId="3" borderId="0" xfId="2" applyFont="1" applyFill="1" applyBorder="1" applyAlignment="1">
      <alignment horizontal="center" vertical="center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#,##0.0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</dxfs>
  <tableStyles count="0" defaultTableStyle="TableStyleMedium2" defaultPivotStyle="PivotStyleLight16"/>
  <colors>
    <mruColors>
      <color rgb="FFEE8254"/>
      <color rgb="FF50792B"/>
      <color rgb="FF70A83B"/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28,5% BID; USD 165,2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18,3% CAF; USD 106,2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27,7% BONOS; USD 161,0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4,0%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12,7% FONPLATA; USD 73,6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8,8% OTROS; USD 51,2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65B696E-1B57-4AE4-B7B7-33A1649B38DB}" type="doc">
      <dgm:prSet loTypeId="urn:microsoft.com/office/officeart/2008/layout/Squa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PY"/>
        </a:p>
      </dgm:t>
    </dgm:pt>
    <dgm:pt modelId="{F732CAA3-1D70-44EE-9E78-2C543861C2F9}">
      <dgm:prSet phldrT="[Texto]"/>
      <dgm:spPr/>
      <dgm:t>
        <a:bodyPr/>
        <a:lstStyle/>
        <a:p>
          <a:r>
            <a:rPr lang="es-PY"/>
            <a:t>Operativo</a:t>
          </a:r>
        </a:p>
      </dgm:t>
    </dgm:pt>
    <dgm:pt modelId="{816DA5D2-6335-465D-BC1B-9F70912DC14D}" type="parTrans" cxnId="{EA949B68-B6CF-40FB-BB63-8393F64E2498}">
      <dgm:prSet/>
      <dgm:spPr/>
      <dgm:t>
        <a:bodyPr/>
        <a:lstStyle/>
        <a:p>
          <a:endParaRPr lang="es-PY"/>
        </a:p>
      </dgm:t>
    </dgm:pt>
    <dgm:pt modelId="{C5536142-923E-4958-8761-8567F17FCB09}" type="sibTrans" cxnId="{EA949B68-B6CF-40FB-BB63-8393F64E2498}">
      <dgm:prSet/>
      <dgm:spPr/>
      <dgm:t>
        <a:bodyPr/>
        <a:lstStyle/>
        <a:p>
          <a:endParaRPr lang="es-PY"/>
        </a:p>
      </dgm:t>
    </dgm:pt>
    <dgm:pt modelId="{9C8A1C92-DF6C-4F32-BC9D-DECD5D00BBF2}">
      <dgm:prSet phldrT="[Texto]" phldr="1"/>
      <dgm:spPr/>
      <dgm:t>
        <a:bodyPr/>
        <a:lstStyle/>
        <a:p>
          <a:endParaRPr lang="es-PY"/>
        </a:p>
      </dgm:t>
    </dgm:pt>
    <dgm:pt modelId="{FBBC0898-045E-46D8-AFD9-EFC7406460B2}" type="parTrans" cxnId="{BD5BDC7A-E610-42FE-AAFA-DD5D89A44B02}">
      <dgm:prSet/>
      <dgm:spPr/>
      <dgm:t>
        <a:bodyPr/>
        <a:lstStyle/>
        <a:p>
          <a:endParaRPr lang="es-PY"/>
        </a:p>
      </dgm:t>
    </dgm:pt>
    <dgm:pt modelId="{37375B3C-B45F-4B6A-B932-2276A8EB73A5}" type="sibTrans" cxnId="{BD5BDC7A-E610-42FE-AAFA-DD5D89A44B02}">
      <dgm:prSet/>
      <dgm:spPr/>
      <dgm:t>
        <a:bodyPr/>
        <a:lstStyle/>
        <a:p>
          <a:endParaRPr lang="es-PY"/>
        </a:p>
      </dgm:t>
    </dgm:pt>
    <dgm:pt modelId="{8BB7E3B7-03A7-4490-93A5-C5AE05EEA441}">
      <dgm:prSet phldrT="[Texto]" phldr="1"/>
      <dgm:spPr/>
      <dgm:t>
        <a:bodyPr/>
        <a:lstStyle/>
        <a:p>
          <a:endParaRPr lang="es-PY"/>
        </a:p>
      </dgm:t>
    </dgm:pt>
    <dgm:pt modelId="{B476A39E-3A83-4B5A-8B20-6C5B0C27E22A}" type="parTrans" cxnId="{4D128C09-2680-4E72-BD8B-21A83683145B}">
      <dgm:prSet/>
      <dgm:spPr/>
      <dgm:t>
        <a:bodyPr/>
        <a:lstStyle/>
        <a:p>
          <a:endParaRPr lang="es-PY"/>
        </a:p>
      </dgm:t>
    </dgm:pt>
    <dgm:pt modelId="{B659AC96-1E53-47A7-93DF-99BAD638038A}" type="sibTrans" cxnId="{4D128C09-2680-4E72-BD8B-21A83683145B}">
      <dgm:prSet/>
      <dgm:spPr/>
      <dgm:t>
        <a:bodyPr/>
        <a:lstStyle/>
        <a:p>
          <a:endParaRPr lang="es-PY"/>
        </a:p>
      </dgm:t>
    </dgm:pt>
    <dgm:pt modelId="{E2693E66-619D-4914-A904-F14BF2D65B4B}">
      <dgm:prSet phldrT="[Texto]" phldr="1"/>
      <dgm:spPr/>
      <dgm:t>
        <a:bodyPr/>
        <a:lstStyle/>
        <a:p>
          <a:endParaRPr lang="es-PY"/>
        </a:p>
      </dgm:t>
    </dgm:pt>
    <dgm:pt modelId="{155CF492-F582-4936-AF16-9351FBFA9BCD}" type="parTrans" cxnId="{3FE3D496-5C9B-4159-8D82-6F1AD03863F1}">
      <dgm:prSet/>
      <dgm:spPr/>
      <dgm:t>
        <a:bodyPr/>
        <a:lstStyle/>
        <a:p>
          <a:endParaRPr lang="es-PY"/>
        </a:p>
      </dgm:t>
    </dgm:pt>
    <dgm:pt modelId="{4D40118D-FB42-4B18-BF0F-5A84FFC409DF}" type="sibTrans" cxnId="{3FE3D496-5C9B-4159-8D82-6F1AD03863F1}">
      <dgm:prSet/>
      <dgm:spPr/>
      <dgm:t>
        <a:bodyPr/>
        <a:lstStyle/>
        <a:p>
          <a:endParaRPr lang="es-PY"/>
        </a:p>
      </dgm:t>
    </dgm:pt>
    <dgm:pt modelId="{5C1A441B-70BA-4719-9032-5DEBD071A3BA}">
      <dgm:prSet phldrT="[Texto]"/>
      <dgm:spPr/>
      <dgm:t>
        <a:bodyPr/>
        <a:lstStyle/>
        <a:p>
          <a:r>
            <a:rPr lang="es-PY"/>
            <a:t>Primario</a:t>
          </a:r>
        </a:p>
      </dgm:t>
    </dgm:pt>
    <dgm:pt modelId="{444A7220-1D56-4334-AE69-5B62B0170151}" type="parTrans" cxnId="{1D454E10-65B4-4115-A4C6-68DF3C28905B}">
      <dgm:prSet/>
      <dgm:spPr/>
      <dgm:t>
        <a:bodyPr/>
        <a:lstStyle/>
        <a:p>
          <a:endParaRPr lang="es-PY"/>
        </a:p>
      </dgm:t>
    </dgm:pt>
    <dgm:pt modelId="{BCD3FB0B-D715-4E81-A0A6-6C67ADCAC369}" type="sibTrans" cxnId="{1D454E10-65B4-4115-A4C6-68DF3C28905B}">
      <dgm:prSet/>
      <dgm:spPr/>
      <dgm:t>
        <a:bodyPr/>
        <a:lstStyle/>
        <a:p>
          <a:endParaRPr lang="es-PY"/>
        </a:p>
      </dgm:t>
    </dgm:pt>
    <dgm:pt modelId="{1E2CE305-706F-4C57-BA61-51A3EAA96FD0}">
      <dgm:prSet phldrT="[Texto]" phldr="1"/>
      <dgm:spPr/>
      <dgm:t>
        <a:bodyPr/>
        <a:lstStyle/>
        <a:p>
          <a:endParaRPr lang="es-PY"/>
        </a:p>
      </dgm:t>
    </dgm:pt>
    <dgm:pt modelId="{4BA7EB09-E624-4A5A-815F-62028B9CD5AB}" type="parTrans" cxnId="{9D3DE276-462F-49A0-8F1C-EBE5FFC559D4}">
      <dgm:prSet/>
      <dgm:spPr/>
      <dgm:t>
        <a:bodyPr/>
        <a:lstStyle/>
        <a:p>
          <a:endParaRPr lang="es-PY"/>
        </a:p>
      </dgm:t>
    </dgm:pt>
    <dgm:pt modelId="{E0388E70-D0FB-4A33-804C-6AC5BF5C82B2}" type="sibTrans" cxnId="{9D3DE276-462F-49A0-8F1C-EBE5FFC559D4}">
      <dgm:prSet/>
      <dgm:spPr/>
      <dgm:t>
        <a:bodyPr/>
        <a:lstStyle/>
        <a:p>
          <a:endParaRPr lang="es-PY"/>
        </a:p>
      </dgm:t>
    </dgm:pt>
    <dgm:pt modelId="{D2A6C69B-E7E0-412D-A3A5-4E9FB908F587}">
      <dgm:prSet phldrT="[Texto]" phldr="1"/>
      <dgm:spPr/>
      <dgm:t>
        <a:bodyPr/>
        <a:lstStyle/>
        <a:p>
          <a:endParaRPr lang="es-PY"/>
        </a:p>
      </dgm:t>
    </dgm:pt>
    <dgm:pt modelId="{E6EFACF8-8041-45DB-B065-23E6B9B831D3}" type="parTrans" cxnId="{8217DF59-A033-4D3B-BD42-645E27946811}">
      <dgm:prSet/>
      <dgm:spPr/>
      <dgm:t>
        <a:bodyPr/>
        <a:lstStyle/>
        <a:p>
          <a:endParaRPr lang="es-PY"/>
        </a:p>
      </dgm:t>
    </dgm:pt>
    <dgm:pt modelId="{3F95DAFC-9A8D-41B4-BFEA-8F48BBF863EE}" type="sibTrans" cxnId="{8217DF59-A033-4D3B-BD42-645E27946811}">
      <dgm:prSet/>
      <dgm:spPr/>
      <dgm:t>
        <a:bodyPr/>
        <a:lstStyle/>
        <a:p>
          <a:endParaRPr lang="es-PY"/>
        </a:p>
      </dgm:t>
    </dgm:pt>
    <dgm:pt modelId="{D30BB242-5444-4220-B055-2A1572914C47}">
      <dgm:prSet phldrT="[Texto]" phldr="1"/>
      <dgm:spPr/>
      <dgm:t>
        <a:bodyPr/>
        <a:lstStyle/>
        <a:p>
          <a:endParaRPr lang="es-PY"/>
        </a:p>
      </dgm:t>
    </dgm:pt>
    <dgm:pt modelId="{0F7974CA-3DDB-4279-B040-FC12A0388382}" type="parTrans" cxnId="{1F0D72F0-8432-4BB6-A517-715E3B852908}">
      <dgm:prSet/>
      <dgm:spPr/>
      <dgm:t>
        <a:bodyPr/>
        <a:lstStyle/>
        <a:p>
          <a:endParaRPr lang="es-PY"/>
        </a:p>
      </dgm:t>
    </dgm:pt>
    <dgm:pt modelId="{C7BBB2D6-5922-4930-A363-9FD8C35889BD}" type="sibTrans" cxnId="{1F0D72F0-8432-4BB6-A517-715E3B852908}">
      <dgm:prSet/>
      <dgm:spPr/>
      <dgm:t>
        <a:bodyPr/>
        <a:lstStyle/>
        <a:p>
          <a:endParaRPr lang="es-PY"/>
        </a:p>
      </dgm:t>
    </dgm:pt>
    <dgm:pt modelId="{D8FD492B-7AE9-4966-87C0-07A6E8F793C1}">
      <dgm:prSet/>
      <dgm:spPr/>
      <dgm:t>
        <a:bodyPr/>
        <a:lstStyle/>
        <a:p>
          <a:r>
            <a:rPr lang="es-PY"/>
            <a:t>Global</a:t>
          </a:r>
        </a:p>
      </dgm:t>
    </dgm:pt>
    <dgm:pt modelId="{0AFDEE2E-429B-409B-8949-0F26C52FB63E}" type="parTrans" cxnId="{94EC5D5C-9541-4EFA-BF99-19F857569DB6}">
      <dgm:prSet/>
      <dgm:spPr/>
      <dgm:t>
        <a:bodyPr/>
        <a:lstStyle/>
        <a:p>
          <a:endParaRPr lang="es-PY"/>
        </a:p>
      </dgm:t>
    </dgm:pt>
    <dgm:pt modelId="{D1A9DD8B-7E04-443D-B368-30798C2C4C3F}" type="sibTrans" cxnId="{94EC5D5C-9541-4EFA-BF99-19F857569DB6}">
      <dgm:prSet/>
      <dgm:spPr/>
      <dgm:t>
        <a:bodyPr/>
        <a:lstStyle/>
        <a:p>
          <a:endParaRPr lang="es-PY"/>
        </a:p>
      </dgm:t>
    </dgm:pt>
    <dgm:pt modelId="{07611423-6D02-424D-9B23-7F25E9AD6C85}">
      <dgm:prSet/>
      <dgm:spPr/>
      <dgm:t>
        <a:bodyPr/>
        <a:lstStyle/>
        <a:p>
          <a:endParaRPr lang="es-PY"/>
        </a:p>
      </dgm:t>
    </dgm:pt>
    <dgm:pt modelId="{27BBF2CF-1254-440F-A49C-1E6C4F4273F3}" type="parTrans" cxnId="{F02AECA4-9136-4FE5-A352-069CC112450D}">
      <dgm:prSet/>
      <dgm:spPr/>
      <dgm:t>
        <a:bodyPr/>
        <a:lstStyle/>
        <a:p>
          <a:endParaRPr lang="es-PY"/>
        </a:p>
      </dgm:t>
    </dgm:pt>
    <dgm:pt modelId="{27E938E9-E969-4791-AE8B-D199F03368EE}" type="sibTrans" cxnId="{F02AECA4-9136-4FE5-A352-069CC112450D}">
      <dgm:prSet/>
      <dgm:spPr/>
      <dgm:t>
        <a:bodyPr/>
        <a:lstStyle/>
        <a:p>
          <a:endParaRPr lang="es-PY"/>
        </a:p>
      </dgm:t>
    </dgm:pt>
    <dgm:pt modelId="{C0C6B6C8-D933-4169-A046-30790F5FB43D}">
      <dgm:prSet/>
      <dgm:spPr/>
      <dgm:t>
        <a:bodyPr/>
        <a:lstStyle/>
        <a:p>
          <a:endParaRPr lang="es-PY"/>
        </a:p>
      </dgm:t>
    </dgm:pt>
    <dgm:pt modelId="{4B8870B5-E2A0-406A-99FE-4EF12783B160}" type="parTrans" cxnId="{51C73B97-EED0-4EBA-95C2-1CF4FD101277}">
      <dgm:prSet/>
      <dgm:spPr/>
      <dgm:t>
        <a:bodyPr/>
        <a:lstStyle/>
        <a:p>
          <a:endParaRPr lang="es-PY"/>
        </a:p>
      </dgm:t>
    </dgm:pt>
    <dgm:pt modelId="{774D80BA-4621-4F5B-BA83-31ABE384AEAD}" type="sibTrans" cxnId="{51C73B97-EED0-4EBA-95C2-1CF4FD101277}">
      <dgm:prSet/>
      <dgm:spPr/>
      <dgm:t>
        <a:bodyPr/>
        <a:lstStyle/>
        <a:p>
          <a:endParaRPr lang="es-PY"/>
        </a:p>
      </dgm:t>
    </dgm:pt>
    <dgm:pt modelId="{276CB479-DC45-41CA-AB7B-E4E3CF88946C}">
      <dgm:prSet/>
      <dgm:spPr/>
      <dgm:t>
        <a:bodyPr/>
        <a:lstStyle/>
        <a:p>
          <a:endParaRPr lang="es-PY"/>
        </a:p>
      </dgm:t>
    </dgm:pt>
    <dgm:pt modelId="{D3F31333-30E5-448B-A045-E1990BCDE49B}" type="parTrans" cxnId="{0F1E241B-CB79-4914-BD07-6B43F0D3F318}">
      <dgm:prSet/>
      <dgm:spPr/>
      <dgm:t>
        <a:bodyPr/>
        <a:lstStyle/>
        <a:p>
          <a:endParaRPr lang="es-PY"/>
        </a:p>
      </dgm:t>
    </dgm:pt>
    <dgm:pt modelId="{DBE42CB2-9DBD-44EF-B110-4DEE92CB1D12}" type="sibTrans" cxnId="{0F1E241B-CB79-4914-BD07-6B43F0D3F318}">
      <dgm:prSet/>
      <dgm:spPr/>
      <dgm:t>
        <a:bodyPr/>
        <a:lstStyle/>
        <a:p>
          <a:endParaRPr lang="es-PY"/>
        </a:p>
      </dgm:t>
    </dgm:pt>
    <dgm:pt modelId="{6A5779A5-61BC-4DAD-B2EA-4482AB300DCA}" type="pres">
      <dgm:prSet presAssocID="{A65B696E-1B57-4AE4-B7B7-33A1649B38DB}" presName="layout" presStyleCnt="0">
        <dgm:presLayoutVars>
          <dgm:chMax/>
          <dgm:chPref/>
          <dgm:dir/>
          <dgm:resizeHandles/>
        </dgm:presLayoutVars>
      </dgm:prSet>
      <dgm:spPr/>
    </dgm:pt>
    <dgm:pt modelId="{6D794E97-4DFD-45D2-B6D4-AC2B78D607B9}" type="pres">
      <dgm:prSet presAssocID="{F732CAA3-1D70-44EE-9E78-2C543861C2F9}" presName="root" presStyleCnt="0">
        <dgm:presLayoutVars>
          <dgm:chMax/>
          <dgm:chPref/>
        </dgm:presLayoutVars>
      </dgm:prSet>
      <dgm:spPr/>
    </dgm:pt>
    <dgm:pt modelId="{4715A8A3-D7AB-4FC3-973A-DED74517AF93}" type="pres">
      <dgm:prSet presAssocID="{F732CAA3-1D70-44EE-9E78-2C543861C2F9}" presName="rootComposite" presStyleCnt="0">
        <dgm:presLayoutVars/>
      </dgm:prSet>
      <dgm:spPr/>
    </dgm:pt>
    <dgm:pt modelId="{FD193138-33C1-4E4C-9776-427A5510A910}" type="pres">
      <dgm:prSet presAssocID="{F732CAA3-1D70-44EE-9E78-2C543861C2F9}" presName="ParentAccent" presStyleLbl="alignNode1" presStyleIdx="0" presStyleCnt="3"/>
      <dgm:spPr/>
    </dgm:pt>
    <dgm:pt modelId="{E37999C3-9FAF-44DE-8706-180A383BE785}" type="pres">
      <dgm:prSet presAssocID="{F732CAA3-1D70-44EE-9E78-2C543861C2F9}" presName="ParentSmallAccent" presStyleLbl="fgAcc1" presStyleIdx="0" presStyleCnt="3"/>
      <dgm:spPr/>
    </dgm:pt>
    <dgm:pt modelId="{A75C911D-4043-46EA-B26C-23348B7796EB}" type="pres">
      <dgm:prSet presAssocID="{F732CAA3-1D70-44EE-9E78-2C543861C2F9}" presName="Parent" presStyleLbl="revTx" presStyleIdx="0" presStyleCnt="12">
        <dgm:presLayoutVars>
          <dgm:chMax/>
          <dgm:chPref val="4"/>
          <dgm:bulletEnabled val="1"/>
        </dgm:presLayoutVars>
      </dgm:prSet>
      <dgm:spPr/>
    </dgm:pt>
    <dgm:pt modelId="{54AB71B2-FD27-434B-9F82-8D8C56B9E3FF}" type="pres">
      <dgm:prSet presAssocID="{F732CAA3-1D70-44EE-9E78-2C543861C2F9}" presName="childShape" presStyleCnt="0">
        <dgm:presLayoutVars>
          <dgm:chMax val="0"/>
          <dgm:chPref val="0"/>
        </dgm:presLayoutVars>
      </dgm:prSet>
      <dgm:spPr/>
    </dgm:pt>
    <dgm:pt modelId="{2098FCB7-328F-46EB-8A6E-E65C66ACFE2E}" type="pres">
      <dgm:prSet presAssocID="{9C8A1C92-DF6C-4F32-BC9D-DECD5D00BBF2}" presName="childComposite" presStyleCnt="0">
        <dgm:presLayoutVars>
          <dgm:chMax val="0"/>
          <dgm:chPref val="0"/>
        </dgm:presLayoutVars>
      </dgm:prSet>
      <dgm:spPr/>
    </dgm:pt>
    <dgm:pt modelId="{18186179-FA9C-492C-A954-665898CE5C20}" type="pres">
      <dgm:prSet presAssocID="{9C8A1C92-DF6C-4F32-BC9D-DECD5D00BBF2}" presName="ChildAccent" presStyleLbl="solidFgAcc1" presStyleIdx="0" presStyleCnt="9"/>
      <dgm:spPr/>
    </dgm:pt>
    <dgm:pt modelId="{22A4795C-271A-4E69-BABF-33B37F4215BE}" type="pres">
      <dgm:prSet presAssocID="{9C8A1C92-DF6C-4F32-BC9D-DECD5D00BBF2}" presName="Child" presStyleLbl="revTx" presStyleIdx="1" presStyleCnt="12">
        <dgm:presLayoutVars>
          <dgm:chMax val="0"/>
          <dgm:chPref val="0"/>
          <dgm:bulletEnabled val="1"/>
        </dgm:presLayoutVars>
      </dgm:prSet>
      <dgm:spPr/>
    </dgm:pt>
    <dgm:pt modelId="{FA9854D1-DEF4-4904-95B1-92AA858F46C1}" type="pres">
      <dgm:prSet presAssocID="{8BB7E3B7-03A7-4490-93A5-C5AE05EEA441}" presName="childComposite" presStyleCnt="0">
        <dgm:presLayoutVars>
          <dgm:chMax val="0"/>
          <dgm:chPref val="0"/>
        </dgm:presLayoutVars>
      </dgm:prSet>
      <dgm:spPr/>
    </dgm:pt>
    <dgm:pt modelId="{D6A24587-731C-4A25-9A2D-F7B9D57FEB99}" type="pres">
      <dgm:prSet presAssocID="{8BB7E3B7-03A7-4490-93A5-C5AE05EEA441}" presName="ChildAccent" presStyleLbl="solidFgAcc1" presStyleIdx="1" presStyleCnt="9"/>
      <dgm:spPr/>
    </dgm:pt>
    <dgm:pt modelId="{CC4F6158-1A94-44FC-91BC-E89A4D86B4A8}" type="pres">
      <dgm:prSet presAssocID="{8BB7E3B7-03A7-4490-93A5-C5AE05EEA441}" presName="Child" presStyleLbl="revTx" presStyleIdx="2" presStyleCnt="12">
        <dgm:presLayoutVars>
          <dgm:chMax val="0"/>
          <dgm:chPref val="0"/>
          <dgm:bulletEnabled val="1"/>
        </dgm:presLayoutVars>
      </dgm:prSet>
      <dgm:spPr/>
    </dgm:pt>
    <dgm:pt modelId="{8904A3D7-3617-4F30-A3DD-E78E46032787}" type="pres">
      <dgm:prSet presAssocID="{E2693E66-619D-4914-A904-F14BF2D65B4B}" presName="childComposite" presStyleCnt="0">
        <dgm:presLayoutVars>
          <dgm:chMax val="0"/>
          <dgm:chPref val="0"/>
        </dgm:presLayoutVars>
      </dgm:prSet>
      <dgm:spPr/>
    </dgm:pt>
    <dgm:pt modelId="{1CB73038-A222-4941-8C90-F684057CF285}" type="pres">
      <dgm:prSet presAssocID="{E2693E66-619D-4914-A904-F14BF2D65B4B}" presName="ChildAccent" presStyleLbl="solidFgAcc1" presStyleIdx="2" presStyleCnt="9"/>
      <dgm:spPr/>
    </dgm:pt>
    <dgm:pt modelId="{6A5672A0-3C08-43D0-964B-BAFE59093755}" type="pres">
      <dgm:prSet presAssocID="{E2693E66-619D-4914-A904-F14BF2D65B4B}" presName="Child" presStyleLbl="revTx" presStyleIdx="3" presStyleCnt="12">
        <dgm:presLayoutVars>
          <dgm:chMax val="0"/>
          <dgm:chPref val="0"/>
          <dgm:bulletEnabled val="1"/>
        </dgm:presLayoutVars>
      </dgm:prSet>
      <dgm:spPr/>
    </dgm:pt>
    <dgm:pt modelId="{38B0A5F5-E01A-40A3-82C9-CCE847796902}" type="pres">
      <dgm:prSet presAssocID="{5C1A441B-70BA-4719-9032-5DEBD071A3BA}" presName="root" presStyleCnt="0">
        <dgm:presLayoutVars>
          <dgm:chMax/>
          <dgm:chPref/>
        </dgm:presLayoutVars>
      </dgm:prSet>
      <dgm:spPr/>
    </dgm:pt>
    <dgm:pt modelId="{7E6911EF-2382-4634-92B5-D4B675077B60}" type="pres">
      <dgm:prSet presAssocID="{5C1A441B-70BA-4719-9032-5DEBD071A3BA}" presName="rootComposite" presStyleCnt="0">
        <dgm:presLayoutVars/>
      </dgm:prSet>
      <dgm:spPr/>
    </dgm:pt>
    <dgm:pt modelId="{51A75234-B519-4E6B-B7F1-D4E09E37A045}" type="pres">
      <dgm:prSet presAssocID="{5C1A441B-70BA-4719-9032-5DEBD071A3BA}" presName="ParentAccent" presStyleLbl="alignNode1" presStyleIdx="1" presStyleCnt="3"/>
      <dgm:spPr/>
    </dgm:pt>
    <dgm:pt modelId="{05B363F7-FF99-4812-AC51-805955FBE717}" type="pres">
      <dgm:prSet presAssocID="{5C1A441B-70BA-4719-9032-5DEBD071A3BA}" presName="ParentSmallAccent" presStyleLbl="fgAcc1" presStyleIdx="1" presStyleCnt="3"/>
      <dgm:spPr/>
    </dgm:pt>
    <dgm:pt modelId="{87BD9E12-7E23-420C-A5AD-36CE42A9F86F}" type="pres">
      <dgm:prSet presAssocID="{5C1A441B-70BA-4719-9032-5DEBD071A3BA}" presName="Parent" presStyleLbl="revTx" presStyleIdx="4" presStyleCnt="12">
        <dgm:presLayoutVars>
          <dgm:chMax/>
          <dgm:chPref val="4"/>
          <dgm:bulletEnabled val="1"/>
        </dgm:presLayoutVars>
      </dgm:prSet>
      <dgm:spPr/>
    </dgm:pt>
    <dgm:pt modelId="{EB8C34FA-2C56-41E7-B02E-75710861E6AD}" type="pres">
      <dgm:prSet presAssocID="{5C1A441B-70BA-4719-9032-5DEBD071A3BA}" presName="childShape" presStyleCnt="0">
        <dgm:presLayoutVars>
          <dgm:chMax val="0"/>
          <dgm:chPref val="0"/>
        </dgm:presLayoutVars>
      </dgm:prSet>
      <dgm:spPr/>
    </dgm:pt>
    <dgm:pt modelId="{3B521451-1792-40DB-9E01-2BD5DC9DC55E}" type="pres">
      <dgm:prSet presAssocID="{1E2CE305-706F-4C57-BA61-51A3EAA96FD0}" presName="childComposite" presStyleCnt="0">
        <dgm:presLayoutVars>
          <dgm:chMax val="0"/>
          <dgm:chPref val="0"/>
        </dgm:presLayoutVars>
      </dgm:prSet>
      <dgm:spPr/>
    </dgm:pt>
    <dgm:pt modelId="{C297E5ED-0A40-4CAA-9B37-F9A3269F5A35}" type="pres">
      <dgm:prSet presAssocID="{1E2CE305-706F-4C57-BA61-51A3EAA96FD0}" presName="ChildAccent" presStyleLbl="solidFgAcc1" presStyleIdx="3" presStyleCnt="9"/>
      <dgm:spPr/>
    </dgm:pt>
    <dgm:pt modelId="{BE4201AF-8DEC-4682-A8BC-6E8B8DBC8BED}" type="pres">
      <dgm:prSet presAssocID="{1E2CE305-706F-4C57-BA61-51A3EAA96FD0}" presName="Child" presStyleLbl="revTx" presStyleIdx="5" presStyleCnt="12">
        <dgm:presLayoutVars>
          <dgm:chMax val="0"/>
          <dgm:chPref val="0"/>
          <dgm:bulletEnabled val="1"/>
        </dgm:presLayoutVars>
      </dgm:prSet>
      <dgm:spPr/>
    </dgm:pt>
    <dgm:pt modelId="{3D09F626-FAC8-41FC-A235-BF91850BE24B}" type="pres">
      <dgm:prSet presAssocID="{D2A6C69B-E7E0-412D-A3A5-4E9FB908F587}" presName="childComposite" presStyleCnt="0">
        <dgm:presLayoutVars>
          <dgm:chMax val="0"/>
          <dgm:chPref val="0"/>
        </dgm:presLayoutVars>
      </dgm:prSet>
      <dgm:spPr/>
    </dgm:pt>
    <dgm:pt modelId="{912ED6D5-15D0-4CB0-B10E-117B055FB909}" type="pres">
      <dgm:prSet presAssocID="{D2A6C69B-E7E0-412D-A3A5-4E9FB908F587}" presName="ChildAccent" presStyleLbl="solidFgAcc1" presStyleIdx="4" presStyleCnt="9"/>
      <dgm:spPr/>
    </dgm:pt>
    <dgm:pt modelId="{4237FE41-788C-4B35-B18A-FDD4CC5451AD}" type="pres">
      <dgm:prSet presAssocID="{D2A6C69B-E7E0-412D-A3A5-4E9FB908F587}" presName="Child" presStyleLbl="revTx" presStyleIdx="6" presStyleCnt="12">
        <dgm:presLayoutVars>
          <dgm:chMax val="0"/>
          <dgm:chPref val="0"/>
          <dgm:bulletEnabled val="1"/>
        </dgm:presLayoutVars>
      </dgm:prSet>
      <dgm:spPr/>
    </dgm:pt>
    <dgm:pt modelId="{DFAB439A-152C-4CF0-843B-513CC872075B}" type="pres">
      <dgm:prSet presAssocID="{D30BB242-5444-4220-B055-2A1572914C47}" presName="childComposite" presStyleCnt="0">
        <dgm:presLayoutVars>
          <dgm:chMax val="0"/>
          <dgm:chPref val="0"/>
        </dgm:presLayoutVars>
      </dgm:prSet>
      <dgm:spPr/>
    </dgm:pt>
    <dgm:pt modelId="{C90002D3-43F1-4B34-A9C9-ADA32016D243}" type="pres">
      <dgm:prSet presAssocID="{D30BB242-5444-4220-B055-2A1572914C47}" presName="ChildAccent" presStyleLbl="solidFgAcc1" presStyleIdx="5" presStyleCnt="9"/>
      <dgm:spPr/>
    </dgm:pt>
    <dgm:pt modelId="{7CC0864B-EC25-47C1-8D7F-11147F02139B}" type="pres">
      <dgm:prSet presAssocID="{D30BB242-5444-4220-B055-2A1572914C47}" presName="Child" presStyleLbl="revTx" presStyleIdx="7" presStyleCnt="12">
        <dgm:presLayoutVars>
          <dgm:chMax val="0"/>
          <dgm:chPref val="0"/>
          <dgm:bulletEnabled val="1"/>
        </dgm:presLayoutVars>
      </dgm:prSet>
      <dgm:spPr/>
    </dgm:pt>
    <dgm:pt modelId="{174CBD1F-9E34-49E0-95B8-8313CAF621A8}" type="pres">
      <dgm:prSet presAssocID="{D8FD492B-7AE9-4966-87C0-07A6E8F793C1}" presName="root" presStyleCnt="0">
        <dgm:presLayoutVars>
          <dgm:chMax/>
          <dgm:chPref/>
        </dgm:presLayoutVars>
      </dgm:prSet>
      <dgm:spPr/>
    </dgm:pt>
    <dgm:pt modelId="{1C582B3E-F5D6-4C73-8956-6FD05A0F2995}" type="pres">
      <dgm:prSet presAssocID="{D8FD492B-7AE9-4966-87C0-07A6E8F793C1}" presName="rootComposite" presStyleCnt="0">
        <dgm:presLayoutVars/>
      </dgm:prSet>
      <dgm:spPr/>
    </dgm:pt>
    <dgm:pt modelId="{0B121545-2875-48D2-ABF7-AB6E01D72A39}" type="pres">
      <dgm:prSet presAssocID="{D8FD492B-7AE9-4966-87C0-07A6E8F793C1}" presName="ParentAccent" presStyleLbl="alignNode1" presStyleIdx="2" presStyleCnt="3"/>
      <dgm:spPr/>
    </dgm:pt>
    <dgm:pt modelId="{413C1985-13ED-4CCB-87E8-D642A38ECF75}" type="pres">
      <dgm:prSet presAssocID="{D8FD492B-7AE9-4966-87C0-07A6E8F793C1}" presName="ParentSmallAccent" presStyleLbl="fgAcc1" presStyleIdx="2" presStyleCnt="3"/>
      <dgm:spPr/>
    </dgm:pt>
    <dgm:pt modelId="{F5DFC7C8-0073-4586-B086-59C10734EFAF}" type="pres">
      <dgm:prSet presAssocID="{D8FD492B-7AE9-4966-87C0-07A6E8F793C1}" presName="Parent" presStyleLbl="revTx" presStyleIdx="8" presStyleCnt="12">
        <dgm:presLayoutVars>
          <dgm:chMax/>
          <dgm:chPref val="4"/>
          <dgm:bulletEnabled val="1"/>
        </dgm:presLayoutVars>
      </dgm:prSet>
      <dgm:spPr/>
    </dgm:pt>
    <dgm:pt modelId="{41C1749E-0B56-4C72-9BB1-56425639B76D}" type="pres">
      <dgm:prSet presAssocID="{D8FD492B-7AE9-4966-87C0-07A6E8F793C1}" presName="childShape" presStyleCnt="0">
        <dgm:presLayoutVars>
          <dgm:chMax val="0"/>
          <dgm:chPref val="0"/>
        </dgm:presLayoutVars>
      </dgm:prSet>
      <dgm:spPr/>
    </dgm:pt>
    <dgm:pt modelId="{109B9930-1E33-40E7-A2AC-3E9B7B59B2CA}" type="pres">
      <dgm:prSet presAssocID="{07611423-6D02-424D-9B23-7F25E9AD6C85}" presName="childComposite" presStyleCnt="0">
        <dgm:presLayoutVars>
          <dgm:chMax val="0"/>
          <dgm:chPref val="0"/>
        </dgm:presLayoutVars>
      </dgm:prSet>
      <dgm:spPr/>
    </dgm:pt>
    <dgm:pt modelId="{06C4B1D0-520C-448E-8854-C49B0EA90C58}" type="pres">
      <dgm:prSet presAssocID="{07611423-6D02-424D-9B23-7F25E9AD6C85}" presName="ChildAccent" presStyleLbl="solidFgAcc1" presStyleIdx="6" presStyleCnt="9"/>
      <dgm:spPr/>
    </dgm:pt>
    <dgm:pt modelId="{FEABF563-516D-43E8-8928-779EEBE899CA}" type="pres">
      <dgm:prSet presAssocID="{07611423-6D02-424D-9B23-7F25E9AD6C85}" presName="Child" presStyleLbl="revTx" presStyleIdx="9" presStyleCnt="12">
        <dgm:presLayoutVars>
          <dgm:chMax val="0"/>
          <dgm:chPref val="0"/>
          <dgm:bulletEnabled val="1"/>
        </dgm:presLayoutVars>
      </dgm:prSet>
      <dgm:spPr/>
    </dgm:pt>
    <dgm:pt modelId="{2BD3508D-0523-4472-9C30-66897C7C3800}" type="pres">
      <dgm:prSet presAssocID="{C0C6B6C8-D933-4169-A046-30790F5FB43D}" presName="childComposite" presStyleCnt="0">
        <dgm:presLayoutVars>
          <dgm:chMax val="0"/>
          <dgm:chPref val="0"/>
        </dgm:presLayoutVars>
      </dgm:prSet>
      <dgm:spPr/>
    </dgm:pt>
    <dgm:pt modelId="{0610B6FC-2EDA-414F-A78D-0956D82BC4E3}" type="pres">
      <dgm:prSet presAssocID="{C0C6B6C8-D933-4169-A046-30790F5FB43D}" presName="ChildAccent" presStyleLbl="solidFgAcc1" presStyleIdx="7" presStyleCnt="9"/>
      <dgm:spPr/>
    </dgm:pt>
    <dgm:pt modelId="{5700CD0A-8922-49C2-8083-22ABCBEC0FE1}" type="pres">
      <dgm:prSet presAssocID="{C0C6B6C8-D933-4169-A046-30790F5FB43D}" presName="Child" presStyleLbl="revTx" presStyleIdx="10" presStyleCnt="12">
        <dgm:presLayoutVars>
          <dgm:chMax val="0"/>
          <dgm:chPref val="0"/>
          <dgm:bulletEnabled val="1"/>
        </dgm:presLayoutVars>
      </dgm:prSet>
      <dgm:spPr/>
    </dgm:pt>
    <dgm:pt modelId="{4581DF11-EFC3-4A7B-A590-DF8FDBCC9FE6}" type="pres">
      <dgm:prSet presAssocID="{276CB479-DC45-41CA-AB7B-E4E3CF88946C}" presName="childComposite" presStyleCnt="0">
        <dgm:presLayoutVars>
          <dgm:chMax val="0"/>
          <dgm:chPref val="0"/>
        </dgm:presLayoutVars>
      </dgm:prSet>
      <dgm:spPr/>
    </dgm:pt>
    <dgm:pt modelId="{AC0141B4-E234-4EBC-ABC6-BF135D842E45}" type="pres">
      <dgm:prSet presAssocID="{276CB479-DC45-41CA-AB7B-E4E3CF88946C}" presName="ChildAccent" presStyleLbl="solidFgAcc1" presStyleIdx="8" presStyleCnt="9"/>
      <dgm:spPr/>
    </dgm:pt>
    <dgm:pt modelId="{9FACAE9D-0EBF-45D7-958C-A83B0B63839C}" type="pres">
      <dgm:prSet presAssocID="{276CB479-DC45-41CA-AB7B-E4E3CF88946C}" presName="Child" presStyleLbl="revTx" presStyleIdx="11" presStyleCnt="12">
        <dgm:presLayoutVars>
          <dgm:chMax val="0"/>
          <dgm:chPref val="0"/>
          <dgm:bulletEnabled val="1"/>
        </dgm:presLayoutVars>
      </dgm:prSet>
      <dgm:spPr/>
    </dgm:pt>
  </dgm:ptLst>
  <dgm:cxnLst>
    <dgm:cxn modelId="{9B50B600-0B19-4C4A-8FA7-AC7113E80314}" type="presOf" srcId="{1E2CE305-706F-4C57-BA61-51A3EAA96FD0}" destId="{BE4201AF-8DEC-4682-A8BC-6E8B8DBC8BED}" srcOrd="0" destOrd="0" presId="urn:microsoft.com/office/officeart/2008/layout/SquareAccentList"/>
    <dgm:cxn modelId="{4D128C09-2680-4E72-BD8B-21A83683145B}" srcId="{F732CAA3-1D70-44EE-9E78-2C543861C2F9}" destId="{8BB7E3B7-03A7-4490-93A5-C5AE05EEA441}" srcOrd="1" destOrd="0" parTransId="{B476A39E-3A83-4B5A-8B20-6C5B0C27E22A}" sibTransId="{B659AC96-1E53-47A7-93DF-99BAD638038A}"/>
    <dgm:cxn modelId="{1D454E10-65B4-4115-A4C6-68DF3C28905B}" srcId="{A65B696E-1B57-4AE4-B7B7-33A1649B38DB}" destId="{5C1A441B-70BA-4719-9032-5DEBD071A3BA}" srcOrd="1" destOrd="0" parTransId="{444A7220-1D56-4334-AE69-5B62B0170151}" sibTransId="{BCD3FB0B-D715-4E81-A0A6-6C67ADCAC369}"/>
    <dgm:cxn modelId="{4C078612-D779-424B-A016-40B6D3286DD8}" type="presOf" srcId="{F732CAA3-1D70-44EE-9E78-2C543861C2F9}" destId="{A75C911D-4043-46EA-B26C-23348B7796EB}" srcOrd="0" destOrd="0" presId="urn:microsoft.com/office/officeart/2008/layout/SquareAccentList"/>
    <dgm:cxn modelId="{0F1E241B-CB79-4914-BD07-6B43F0D3F318}" srcId="{D8FD492B-7AE9-4966-87C0-07A6E8F793C1}" destId="{276CB479-DC45-41CA-AB7B-E4E3CF88946C}" srcOrd="2" destOrd="0" parTransId="{D3F31333-30E5-448B-A045-E1990BCDE49B}" sibTransId="{DBE42CB2-9DBD-44EF-B110-4DEE92CB1D12}"/>
    <dgm:cxn modelId="{1E2C591B-ECA0-4868-8D60-69173686F141}" type="presOf" srcId="{D8FD492B-7AE9-4966-87C0-07A6E8F793C1}" destId="{F5DFC7C8-0073-4586-B086-59C10734EFAF}" srcOrd="0" destOrd="0" presId="urn:microsoft.com/office/officeart/2008/layout/SquareAccentList"/>
    <dgm:cxn modelId="{CFA7081D-616E-45F7-9B7F-5C876E3ED083}" type="presOf" srcId="{D30BB242-5444-4220-B055-2A1572914C47}" destId="{7CC0864B-EC25-47C1-8D7F-11147F02139B}" srcOrd="0" destOrd="0" presId="urn:microsoft.com/office/officeart/2008/layout/SquareAccentList"/>
    <dgm:cxn modelId="{A18B442D-275D-41E3-9FE9-D4B674503D0B}" type="presOf" srcId="{9C8A1C92-DF6C-4F32-BC9D-DECD5D00BBF2}" destId="{22A4795C-271A-4E69-BABF-33B37F4215BE}" srcOrd="0" destOrd="0" presId="urn:microsoft.com/office/officeart/2008/layout/SquareAccentList"/>
    <dgm:cxn modelId="{2A782934-1FC9-4D63-B621-14949084A4E6}" type="presOf" srcId="{07611423-6D02-424D-9B23-7F25E9AD6C85}" destId="{FEABF563-516D-43E8-8928-779EEBE899CA}" srcOrd="0" destOrd="0" presId="urn:microsoft.com/office/officeart/2008/layout/SquareAccentList"/>
    <dgm:cxn modelId="{94EC5D5C-9541-4EFA-BF99-19F857569DB6}" srcId="{A65B696E-1B57-4AE4-B7B7-33A1649B38DB}" destId="{D8FD492B-7AE9-4966-87C0-07A6E8F793C1}" srcOrd="2" destOrd="0" parTransId="{0AFDEE2E-429B-409B-8949-0F26C52FB63E}" sibTransId="{D1A9DD8B-7E04-443D-B368-30798C2C4C3F}"/>
    <dgm:cxn modelId="{EA949B68-B6CF-40FB-BB63-8393F64E2498}" srcId="{A65B696E-1B57-4AE4-B7B7-33A1649B38DB}" destId="{F732CAA3-1D70-44EE-9E78-2C543861C2F9}" srcOrd="0" destOrd="0" parTransId="{816DA5D2-6335-465D-BC1B-9F70912DC14D}" sibTransId="{C5536142-923E-4958-8761-8567F17FCB09}"/>
    <dgm:cxn modelId="{9D3DE276-462F-49A0-8F1C-EBE5FFC559D4}" srcId="{5C1A441B-70BA-4719-9032-5DEBD071A3BA}" destId="{1E2CE305-706F-4C57-BA61-51A3EAA96FD0}" srcOrd="0" destOrd="0" parTransId="{4BA7EB09-E624-4A5A-815F-62028B9CD5AB}" sibTransId="{E0388E70-D0FB-4A33-804C-6AC5BF5C82B2}"/>
    <dgm:cxn modelId="{E036B858-20DD-4C5D-A9C7-A43B96995E4F}" type="presOf" srcId="{276CB479-DC45-41CA-AB7B-E4E3CF88946C}" destId="{9FACAE9D-0EBF-45D7-958C-A83B0B63839C}" srcOrd="0" destOrd="0" presId="urn:microsoft.com/office/officeart/2008/layout/SquareAccentList"/>
    <dgm:cxn modelId="{8217DF59-A033-4D3B-BD42-645E27946811}" srcId="{5C1A441B-70BA-4719-9032-5DEBD071A3BA}" destId="{D2A6C69B-E7E0-412D-A3A5-4E9FB908F587}" srcOrd="1" destOrd="0" parTransId="{E6EFACF8-8041-45DB-B065-23E6B9B831D3}" sibTransId="{3F95DAFC-9A8D-41B4-BFEA-8F48BBF863EE}"/>
    <dgm:cxn modelId="{BD5BDC7A-E610-42FE-AAFA-DD5D89A44B02}" srcId="{F732CAA3-1D70-44EE-9E78-2C543861C2F9}" destId="{9C8A1C92-DF6C-4F32-BC9D-DECD5D00BBF2}" srcOrd="0" destOrd="0" parTransId="{FBBC0898-045E-46D8-AFD9-EFC7406460B2}" sibTransId="{37375B3C-B45F-4B6A-B932-2276A8EB73A5}"/>
    <dgm:cxn modelId="{03FD3980-8182-47DD-B869-971196714528}" type="presOf" srcId="{A65B696E-1B57-4AE4-B7B7-33A1649B38DB}" destId="{6A5779A5-61BC-4DAD-B2EA-4482AB300DCA}" srcOrd="0" destOrd="0" presId="urn:microsoft.com/office/officeart/2008/layout/SquareAccentList"/>
    <dgm:cxn modelId="{53EC1E88-E402-4CBE-900F-E3488065654B}" type="presOf" srcId="{5C1A441B-70BA-4719-9032-5DEBD071A3BA}" destId="{87BD9E12-7E23-420C-A5AD-36CE42A9F86F}" srcOrd="0" destOrd="0" presId="urn:microsoft.com/office/officeart/2008/layout/SquareAccentList"/>
    <dgm:cxn modelId="{276A2E8C-2001-4D81-9277-FE609FFB2F93}" type="presOf" srcId="{8BB7E3B7-03A7-4490-93A5-C5AE05EEA441}" destId="{CC4F6158-1A94-44FC-91BC-E89A4D86B4A8}" srcOrd="0" destOrd="0" presId="urn:microsoft.com/office/officeart/2008/layout/SquareAccentList"/>
    <dgm:cxn modelId="{3FE3D496-5C9B-4159-8D82-6F1AD03863F1}" srcId="{F732CAA3-1D70-44EE-9E78-2C543861C2F9}" destId="{E2693E66-619D-4914-A904-F14BF2D65B4B}" srcOrd="2" destOrd="0" parTransId="{155CF492-F582-4936-AF16-9351FBFA9BCD}" sibTransId="{4D40118D-FB42-4B18-BF0F-5A84FFC409DF}"/>
    <dgm:cxn modelId="{51C73B97-EED0-4EBA-95C2-1CF4FD101277}" srcId="{D8FD492B-7AE9-4966-87C0-07A6E8F793C1}" destId="{C0C6B6C8-D933-4169-A046-30790F5FB43D}" srcOrd="1" destOrd="0" parTransId="{4B8870B5-E2A0-406A-99FE-4EF12783B160}" sibTransId="{774D80BA-4621-4F5B-BA83-31ABE384AEAD}"/>
    <dgm:cxn modelId="{F02AECA4-9136-4FE5-A352-069CC112450D}" srcId="{D8FD492B-7AE9-4966-87C0-07A6E8F793C1}" destId="{07611423-6D02-424D-9B23-7F25E9AD6C85}" srcOrd="0" destOrd="0" parTransId="{27BBF2CF-1254-440F-A49C-1E6C4F4273F3}" sibTransId="{27E938E9-E969-4791-AE8B-D199F03368EE}"/>
    <dgm:cxn modelId="{690608C5-9306-45C9-A479-12F6A934512A}" type="presOf" srcId="{C0C6B6C8-D933-4169-A046-30790F5FB43D}" destId="{5700CD0A-8922-49C2-8083-22ABCBEC0FE1}" srcOrd="0" destOrd="0" presId="urn:microsoft.com/office/officeart/2008/layout/SquareAccentList"/>
    <dgm:cxn modelId="{AD71A9EA-B27D-480E-83B4-856B205C1B23}" type="presOf" srcId="{D2A6C69B-E7E0-412D-A3A5-4E9FB908F587}" destId="{4237FE41-788C-4B35-B18A-FDD4CC5451AD}" srcOrd="0" destOrd="0" presId="urn:microsoft.com/office/officeart/2008/layout/SquareAccentList"/>
    <dgm:cxn modelId="{1F0D72F0-8432-4BB6-A517-715E3B852908}" srcId="{5C1A441B-70BA-4719-9032-5DEBD071A3BA}" destId="{D30BB242-5444-4220-B055-2A1572914C47}" srcOrd="2" destOrd="0" parTransId="{0F7974CA-3DDB-4279-B040-FC12A0388382}" sibTransId="{C7BBB2D6-5922-4930-A363-9FD8C35889BD}"/>
    <dgm:cxn modelId="{D65486FB-BA0D-4EB1-9864-6FD2A934A4EE}" type="presOf" srcId="{E2693E66-619D-4914-A904-F14BF2D65B4B}" destId="{6A5672A0-3C08-43D0-964B-BAFE59093755}" srcOrd="0" destOrd="0" presId="urn:microsoft.com/office/officeart/2008/layout/SquareAccentList"/>
    <dgm:cxn modelId="{F0CD0578-E9BD-44A7-93E1-CF952F70FEDF}" type="presParOf" srcId="{6A5779A5-61BC-4DAD-B2EA-4482AB300DCA}" destId="{6D794E97-4DFD-45D2-B6D4-AC2B78D607B9}" srcOrd="0" destOrd="0" presId="urn:microsoft.com/office/officeart/2008/layout/SquareAccentList"/>
    <dgm:cxn modelId="{B428963E-960F-4957-A3DF-B1564FA31C8E}" type="presParOf" srcId="{6D794E97-4DFD-45D2-B6D4-AC2B78D607B9}" destId="{4715A8A3-D7AB-4FC3-973A-DED74517AF93}" srcOrd="0" destOrd="0" presId="urn:microsoft.com/office/officeart/2008/layout/SquareAccentList"/>
    <dgm:cxn modelId="{7143F3C2-FE16-43B4-8FC6-5683B3542B54}" type="presParOf" srcId="{4715A8A3-D7AB-4FC3-973A-DED74517AF93}" destId="{FD193138-33C1-4E4C-9776-427A5510A910}" srcOrd="0" destOrd="0" presId="urn:microsoft.com/office/officeart/2008/layout/SquareAccentList"/>
    <dgm:cxn modelId="{0C33F413-C12F-4C49-A178-EDA680B2E624}" type="presParOf" srcId="{4715A8A3-D7AB-4FC3-973A-DED74517AF93}" destId="{E37999C3-9FAF-44DE-8706-180A383BE785}" srcOrd="1" destOrd="0" presId="urn:microsoft.com/office/officeart/2008/layout/SquareAccentList"/>
    <dgm:cxn modelId="{DBAC56C6-978B-4887-9534-804EAFF9BECC}" type="presParOf" srcId="{4715A8A3-D7AB-4FC3-973A-DED74517AF93}" destId="{A75C911D-4043-46EA-B26C-23348B7796EB}" srcOrd="2" destOrd="0" presId="urn:microsoft.com/office/officeart/2008/layout/SquareAccentList"/>
    <dgm:cxn modelId="{2637196E-F240-4509-8B2D-E45D543695C1}" type="presParOf" srcId="{6D794E97-4DFD-45D2-B6D4-AC2B78D607B9}" destId="{54AB71B2-FD27-434B-9F82-8D8C56B9E3FF}" srcOrd="1" destOrd="0" presId="urn:microsoft.com/office/officeart/2008/layout/SquareAccentList"/>
    <dgm:cxn modelId="{1EA2BBEB-C3A2-4F46-B06C-0D90B3EEC5B3}" type="presParOf" srcId="{54AB71B2-FD27-434B-9F82-8D8C56B9E3FF}" destId="{2098FCB7-328F-46EB-8A6E-E65C66ACFE2E}" srcOrd="0" destOrd="0" presId="urn:microsoft.com/office/officeart/2008/layout/SquareAccentList"/>
    <dgm:cxn modelId="{E54A6F93-B6EB-49EE-9179-E589B147A91B}" type="presParOf" srcId="{2098FCB7-328F-46EB-8A6E-E65C66ACFE2E}" destId="{18186179-FA9C-492C-A954-665898CE5C20}" srcOrd="0" destOrd="0" presId="urn:microsoft.com/office/officeart/2008/layout/SquareAccentList"/>
    <dgm:cxn modelId="{BCBFF616-FF1C-42DE-A37B-AD3AA5CB3C1F}" type="presParOf" srcId="{2098FCB7-328F-46EB-8A6E-E65C66ACFE2E}" destId="{22A4795C-271A-4E69-BABF-33B37F4215BE}" srcOrd="1" destOrd="0" presId="urn:microsoft.com/office/officeart/2008/layout/SquareAccentList"/>
    <dgm:cxn modelId="{7B6246FC-F689-4888-A094-F4A880F631B7}" type="presParOf" srcId="{54AB71B2-FD27-434B-9F82-8D8C56B9E3FF}" destId="{FA9854D1-DEF4-4904-95B1-92AA858F46C1}" srcOrd="1" destOrd="0" presId="urn:microsoft.com/office/officeart/2008/layout/SquareAccentList"/>
    <dgm:cxn modelId="{075C3F0F-2698-4212-AB6E-7B0EE9FFBF67}" type="presParOf" srcId="{FA9854D1-DEF4-4904-95B1-92AA858F46C1}" destId="{D6A24587-731C-4A25-9A2D-F7B9D57FEB99}" srcOrd="0" destOrd="0" presId="urn:microsoft.com/office/officeart/2008/layout/SquareAccentList"/>
    <dgm:cxn modelId="{159F5ACB-0213-481F-9020-6141087C89DF}" type="presParOf" srcId="{FA9854D1-DEF4-4904-95B1-92AA858F46C1}" destId="{CC4F6158-1A94-44FC-91BC-E89A4D86B4A8}" srcOrd="1" destOrd="0" presId="urn:microsoft.com/office/officeart/2008/layout/SquareAccentList"/>
    <dgm:cxn modelId="{72F2D1AD-6F6F-472D-BF51-F68AD109E9DA}" type="presParOf" srcId="{54AB71B2-FD27-434B-9F82-8D8C56B9E3FF}" destId="{8904A3D7-3617-4F30-A3DD-E78E46032787}" srcOrd="2" destOrd="0" presId="urn:microsoft.com/office/officeart/2008/layout/SquareAccentList"/>
    <dgm:cxn modelId="{159B852F-DD03-43A3-B531-3358F66BD1CF}" type="presParOf" srcId="{8904A3D7-3617-4F30-A3DD-E78E46032787}" destId="{1CB73038-A222-4941-8C90-F684057CF285}" srcOrd="0" destOrd="0" presId="urn:microsoft.com/office/officeart/2008/layout/SquareAccentList"/>
    <dgm:cxn modelId="{B521EC77-A335-4385-AF0B-43056AA89726}" type="presParOf" srcId="{8904A3D7-3617-4F30-A3DD-E78E46032787}" destId="{6A5672A0-3C08-43D0-964B-BAFE59093755}" srcOrd="1" destOrd="0" presId="urn:microsoft.com/office/officeart/2008/layout/SquareAccentList"/>
    <dgm:cxn modelId="{FF9E938A-E455-46E2-B8B6-EB2E4B3DFB46}" type="presParOf" srcId="{6A5779A5-61BC-4DAD-B2EA-4482AB300DCA}" destId="{38B0A5F5-E01A-40A3-82C9-CCE847796902}" srcOrd="1" destOrd="0" presId="urn:microsoft.com/office/officeart/2008/layout/SquareAccentList"/>
    <dgm:cxn modelId="{04C77E54-B549-4759-A0EB-A5C04BEC4D65}" type="presParOf" srcId="{38B0A5F5-E01A-40A3-82C9-CCE847796902}" destId="{7E6911EF-2382-4634-92B5-D4B675077B60}" srcOrd="0" destOrd="0" presId="urn:microsoft.com/office/officeart/2008/layout/SquareAccentList"/>
    <dgm:cxn modelId="{B7C42B4D-B57B-416D-BC5C-444812F32307}" type="presParOf" srcId="{7E6911EF-2382-4634-92B5-D4B675077B60}" destId="{51A75234-B519-4E6B-B7F1-D4E09E37A045}" srcOrd="0" destOrd="0" presId="urn:microsoft.com/office/officeart/2008/layout/SquareAccentList"/>
    <dgm:cxn modelId="{85F2C919-2E35-4452-93C1-E3C166B3F97C}" type="presParOf" srcId="{7E6911EF-2382-4634-92B5-D4B675077B60}" destId="{05B363F7-FF99-4812-AC51-805955FBE717}" srcOrd="1" destOrd="0" presId="urn:microsoft.com/office/officeart/2008/layout/SquareAccentList"/>
    <dgm:cxn modelId="{6CDEEAEE-91A1-4604-A202-D0F3E662F5BB}" type="presParOf" srcId="{7E6911EF-2382-4634-92B5-D4B675077B60}" destId="{87BD9E12-7E23-420C-A5AD-36CE42A9F86F}" srcOrd="2" destOrd="0" presId="urn:microsoft.com/office/officeart/2008/layout/SquareAccentList"/>
    <dgm:cxn modelId="{4E90E42A-6DBD-49C1-AB67-FD65B2A31D82}" type="presParOf" srcId="{38B0A5F5-E01A-40A3-82C9-CCE847796902}" destId="{EB8C34FA-2C56-41E7-B02E-75710861E6AD}" srcOrd="1" destOrd="0" presId="urn:microsoft.com/office/officeart/2008/layout/SquareAccentList"/>
    <dgm:cxn modelId="{3E0C0E02-F42B-41B4-BA37-CFAE5B38FC10}" type="presParOf" srcId="{EB8C34FA-2C56-41E7-B02E-75710861E6AD}" destId="{3B521451-1792-40DB-9E01-2BD5DC9DC55E}" srcOrd="0" destOrd="0" presId="urn:microsoft.com/office/officeart/2008/layout/SquareAccentList"/>
    <dgm:cxn modelId="{17835FAA-FD4F-4505-9E12-5E23471BCB11}" type="presParOf" srcId="{3B521451-1792-40DB-9E01-2BD5DC9DC55E}" destId="{C297E5ED-0A40-4CAA-9B37-F9A3269F5A35}" srcOrd="0" destOrd="0" presId="urn:microsoft.com/office/officeart/2008/layout/SquareAccentList"/>
    <dgm:cxn modelId="{D96E5D4B-16AF-4499-A9D3-1AFCAA4EBADF}" type="presParOf" srcId="{3B521451-1792-40DB-9E01-2BD5DC9DC55E}" destId="{BE4201AF-8DEC-4682-A8BC-6E8B8DBC8BED}" srcOrd="1" destOrd="0" presId="urn:microsoft.com/office/officeart/2008/layout/SquareAccentList"/>
    <dgm:cxn modelId="{C17E6EFF-0333-4E8D-A642-4DCE4C2D1BB5}" type="presParOf" srcId="{EB8C34FA-2C56-41E7-B02E-75710861E6AD}" destId="{3D09F626-FAC8-41FC-A235-BF91850BE24B}" srcOrd="1" destOrd="0" presId="urn:microsoft.com/office/officeart/2008/layout/SquareAccentList"/>
    <dgm:cxn modelId="{235991BC-CF65-4174-A838-25B223C33075}" type="presParOf" srcId="{3D09F626-FAC8-41FC-A235-BF91850BE24B}" destId="{912ED6D5-15D0-4CB0-B10E-117B055FB909}" srcOrd="0" destOrd="0" presId="urn:microsoft.com/office/officeart/2008/layout/SquareAccentList"/>
    <dgm:cxn modelId="{3C42DCC4-3440-4181-99EF-22C8DA2F51AA}" type="presParOf" srcId="{3D09F626-FAC8-41FC-A235-BF91850BE24B}" destId="{4237FE41-788C-4B35-B18A-FDD4CC5451AD}" srcOrd="1" destOrd="0" presId="urn:microsoft.com/office/officeart/2008/layout/SquareAccentList"/>
    <dgm:cxn modelId="{D8ED1C39-751F-4DBE-91CB-AC2C5FA3982D}" type="presParOf" srcId="{EB8C34FA-2C56-41E7-B02E-75710861E6AD}" destId="{DFAB439A-152C-4CF0-843B-513CC872075B}" srcOrd="2" destOrd="0" presId="urn:microsoft.com/office/officeart/2008/layout/SquareAccentList"/>
    <dgm:cxn modelId="{14F0E82A-F02E-4160-808E-10E7C16467B6}" type="presParOf" srcId="{DFAB439A-152C-4CF0-843B-513CC872075B}" destId="{C90002D3-43F1-4B34-A9C9-ADA32016D243}" srcOrd="0" destOrd="0" presId="urn:microsoft.com/office/officeart/2008/layout/SquareAccentList"/>
    <dgm:cxn modelId="{646A58D2-5927-4B2C-8758-FA17171B4384}" type="presParOf" srcId="{DFAB439A-152C-4CF0-843B-513CC872075B}" destId="{7CC0864B-EC25-47C1-8D7F-11147F02139B}" srcOrd="1" destOrd="0" presId="urn:microsoft.com/office/officeart/2008/layout/SquareAccentList"/>
    <dgm:cxn modelId="{39716E38-B839-4B0B-926F-E30A445E2367}" type="presParOf" srcId="{6A5779A5-61BC-4DAD-B2EA-4482AB300DCA}" destId="{174CBD1F-9E34-49E0-95B8-8313CAF621A8}" srcOrd="2" destOrd="0" presId="urn:microsoft.com/office/officeart/2008/layout/SquareAccentList"/>
    <dgm:cxn modelId="{188B9627-0229-49AE-8A81-C3CF1A139857}" type="presParOf" srcId="{174CBD1F-9E34-49E0-95B8-8313CAF621A8}" destId="{1C582B3E-F5D6-4C73-8956-6FD05A0F2995}" srcOrd="0" destOrd="0" presId="urn:microsoft.com/office/officeart/2008/layout/SquareAccentList"/>
    <dgm:cxn modelId="{8FB3480A-D369-494A-9AF4-C7B86EE2C635}" type="presParOf" srcId="{1C582B3E-F5D6-4C73-8956-6FD05A0F2995}" destId="{0B121545-2875-48D2-ABF7-AB6E01D72A39}" srcOrd="0" destOrd="0" presId="urn:microsoft.com/office/officeart/2008/layout/SquareAccentList"/>
    <dgm:cxn modelId="{23D83DFA-5630-4F68-BFAF-3AAEE4F6928E}" type="presParOf" srcId="{1C582B3E-F5D6-4C73-8956-6FD05A0F2995}" destId="{413C1985-13ED-4CCB-87E8-D642A38ECF75}" srcOrd="1" destOrd="0" presId="urn:microsoft.com/office/officeart/2008/layout/SquareAccentList"/>
    <dgm:cxn modelId="{9A0C53E1-485E-4F36-B41D-C96C8BC4DB34}" type="presParOf" srcId="{1C582B3E-F5D6-4C73-8956-6FD05A0F2995}" destId="{F5DFC7C8-0073-4586-B086-59C10734EFAF}" srcOrd="2" destOrd="0" presId="urn:microsoft.com/office/officeart/2008/layout/SquareAccentList"/>
    <dgm:cxn modelId="{33A07E9A-F807-4922-BA10-D70563315D1E}" type="presParOf" srcId="{174CBD1F-9E34-49E0-95B8-8313CAF621A8}" destId="{41C1749E-0B56-4C72-9BB1-56425639B76D}" srcOrd="1" destOrd="0" presId="urn:microsoft.com/office/officeart/2008/layout/SquareAccentList"/>
    <dgm:cxn modelId="{E3157423-0D22-4B76-9037-9E4C32C62D28}" type="presParOf" srcId="{41C1749E-0B56-4C72-9BB1-56425639B76D}" destId="{109B9930-1E33-40E7-A2AC-3E9B7B59B2CA}" srcOrd="0" destOrd="0" presId="urn:microsoft.com/office/officeart/2008/layout/SquareAccentList"/>
    <dgm:cxn modelId="{DDBFA1CE-DD43-4D92-B2D2-445F815C7719}" type="presParOf" srcId="{109B9930-1E33-40E7-A2AC-3E9B7B59B2CA}" destId="{06C4B1D0-520C-448E-8854-C49B0EA90C58}" srcOrd="0" destOrd="0" presId="urn:microsoft.com/office/officeart/2008/layout/SquareAccentList"/>
    <dgm:cxn modelId="{8924F5D7-5FFE-49FE-9092-EE2B5B993527}" type="presParOf" srcId="{109B9930-1E33-40E7-A2AC-3E9B7B59B2CA}" destId="{FEABF563-516D-43E8-8928-779EEBE899CA}" srcOrd="1" destOrd="0" presId="urn:microsoft.com/office/officeart/2008/layout/SquareAccentList"/>
    <dgm:cxn modelId="{F34E78CA-5562-4D98-950A-09F2CBABA8B6}" type="presParOf" srcId="{41C1749E-0B56-4C72-9BB1-56425639B76D}" destId="{2BD3508D-0523-4472-9C30-66897C7C3800}" srcOrd="1" destOrd="0" presId="urn:microsoft.com/office/officeart/2008/layout/SquareAccentList"/>
    <dgm:cxn modelId="{C12039A1-576C-4824-BC17-5DC9D76739FF}" type="presParOf" srcId="{2BD3508D-0523-4472-9C30-66897C7C3800}" destId="{0610B6FC-2EDA-414F-A78D-0956D82BC4E3}" srcOrd="0" destOrd="0" presId="urn:microsoft.com/office/officeart/2008/layout/SquareAccentList"/>
    <dgm:cxn modelId="{7AD352D9-4F61-4363-B6BA-EE9AC7A96698}" type="presParOf" srcId="{2BD3508D-0523-4472-9C30-66897C7C3800}" destId="{5700CD0A-8922-49C2-8083-22ABCBEC0FE1}" srcOrd="1" destOrd="0" presId="urn:microsoft.com/office/officeart/2008/layout/SquareAccentList"/>
    <dgm:cxn modelId="{6A19D0C5-3D67-4554-9EBA-3F79BC0A13F2}" type="presParOf" srcId="{41C1749E-0B56-4C72-9BB1-56425639B76D}" destId="{4581DF11-EFC3-4A7B-A590-DF8FDBCC9FE6}" srcOrd="2" destOrd="0" presId="urn:microsoft.com/office/officeart/2008/layout/SquareAccentList"/>
    <dgm:cxn modelId="{33F57378-2D5F-45EB-9CF3-F62B4D7F2599}" type="presParOf" srcId="{4581DF11-EFC3-4A7B-A590-DF8FDBCC9FE6}" destId="{AC0141B4-E234-4EBC-ABC6-BF135D842E45}" srcOrd="0" destOrd="0" presId="urn:microsoft.com/office/officeart/2008/layout/SquareAccentList"/>
    <dgm:cxn modelId="{351CF399-9311-4DC8-8CD9-6750D66B5A5F}" type="presParOf" srcId="{4581DF11-EFC3-4A7B-A590-DF8FDBCC9FE6}" destId="{9FACAE9D-0EBF-45D7-958C-A83B0B63839C}" srcOrd="1" destOrd="0" presId="urn:microsoft.com/office/officeart/2008/layout/SquareAccentList"/>
  </dgm:cxnLst>
  <dgm:bg/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395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28,5% BID; USD 165,2</a:t>
          </a:r>
        </a:p>
      </dsp:txBody>
      <dsp:txXfrm>
        <a:off x="14621" y="54214"/>
        <a:ext cx="1976608" cy="270278"/>
      </dsp:txXfrm>
    </dsp:sp>
    <dsp:sp modelId="{0D666006-1837-4A28-932F-50B679C0692E}">
      <dsp:nvSpPr>
        <dsp:cNvPr id="0" name=""/>
        <dsp:cNvSpPr/>
      </dsp:nvSpPr>
      <dsp:spPr>
        <a:xfrm>
          <a:off x="0" y="377644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18,3% CAF; USD 106,2</a:t>
          </a:r>
        </a:p>
      </dsp:txBody>
      <dsp:txXfrm>
        <a:off x="14621" y="392265"/>
        <a:ext cx="1976608" cy="270278"/>
      </dsp:txXfrm>
    </dsp:sp>
    <dsp:sp modelId="{9C34921F-1EBE-4C36-AC6D-74BE6E9E4C7E}">
      <dsp:nvSpPr>
        <dsp:cNvPr id="0" name=""/>
        <dsp:cNvSpPr/>
      </dsp:nvSpPr>
      <dsp:spPr>
        <a:xfrm>
          <a:off x="0" y="7307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27,7% BONOS; USD 161,0</a:t>
          </a:r>
        </a:p>
      </dsp:txBody>
      <dsp:txXfrm>
        <a:off x="14621" y="745414"/>
        <a:ext cx="1976608" cy="270278"/>
      </dsp:txXfrm>
    </dsp:sp>
    <dsp:sp modelId="{399C80D5-4A8C-41CC-9CD9-5EE6570C022A}">
      <dsp:nvSpPr>
        <dsp:cNvPr id="0" name=""/>
        <dsp:cNvSpPr/>
      </dsp:nvSpPr>
      <dsp:spPr>
        <a:xfrm>
          <a:off x="0" y="10763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4,0% LL. EN MANO; USD 23,5</a:t>
          </a:r>
        </a:p>
      </dsp:txBody>
      <dsp:txXfrm>
        <a:off x="14621" y="1091014"/>
        <a:ext cx="1976608" cy="270278"/>
      </dsp:txXfrm>
    </dsp:sp>
    <dsp:sp modelId="{2560457B-587D-45C6-B1E3-750BC51083D9}">
      <dsp:nvSpPr>
        <dsp:cNvPr id="0" name=""/>
        <dsp:cNvSpPr/>
      </dsp:nvSpPr>
      <dsp:spPr>
        <a:xfrm>
          <a:off x="0" y="14219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12,7% FONPLATA; USD 73,6</a:t>
          </a:r>
        </a:p>
      </dsp:txBody>
      <dsp:txXfrm>
        <a:off x="14621" y="1436614"/>
        <a:ext cx="1976608" cy="270278"/>
      </dsp:txXfrm>
    </dsp:sp>
    <dsp:sp modelId="{CC4A0EB8-B574-4474-8026-DBB4FEDF31CB}">
      <dsp:nvSpPr>
        <dsp:cNvPr id="0" name=""/>
        <dsp:cNvSpPr/>
      </dsp:nvSpPr>
      <dsp:spPr>
        <a:xfrm>
          <a:off x="0" y="17675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8,8% OTROS; USD 51,2</a:t>
          </a:r>
        </a:p>
      </dsp:txBody>
      <dsp:txXfrm>
        <a:off x="14621" y="1782214"/>
        <a:ext cx="1976608" cy="27027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193138-33C1-4E4C-9776-427A5510A910}">
      <dsp:nvSpPr>
        <dsp:cNvPr id="0" name=""/>
        <dsp:cNvSpPr/>
      </dsp:nvSpPr>
      <dsp:spPr>
        <a:xfrm>
          <a:off x="148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7999C3-9FAF-44DE-8706-180A383BE785}">
      <dsp:nvSpPr>
        <dsp:cNvPr id="0" name=""/>
        <dsp:cNvSpPr/>
      </dsp:nvSpPr>
      <dsp:spPr>
        <a:xfrm>
          <a:off x="148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75C911D-4043-46EA-B26C-23348B7796EB}">
      <dsp:nvSpPr>
        <dsp:cNvPr id="0" name=""/>
        <dsp:cNvSpPr/>
      </dsp:nvSpPr>
      <dsp:spPr>
        <a:xfrm>
          <a:off x="148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Operativo</a:t>
          </a:r>
        </a:p>
      </dsp:txBody>
      <dsp:txXfrm>
        <a:off x="1482" y="0"/>
        <a:ext cx="1645404" cy="347745"/>
      </dsp:txXfrm>
    </dsp:sp>
    <dsp:sp modelId="{18186179-FA9C-492C-A954-665898CE5C20}">
      <dsp:nvSpPr>
        <dsp:cNvPr id="0" name=""/>
        <dsp:cNvSpPr/>
      </dsp:nvSpPr>
      <dsp:spPr>
        <a:xfrm>
          <a:off x="148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A4795C-271A-4E69-BABF-33B37F4215BE}">
      <dsp:nvSpPr>
        <dsp:cNvPr id="0" name=""/>
        <dsp:cNvSpPr/>
      </dsp:nvSpPr>
      <dsp:spPr>
        <a:xfrm>
          <a:off x="11666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621764"/>
        <a:ext cx="1530226" cy="281758"/>
      </dsp:txXfrm>
    </dsp:sp>
    <dsp:sp modelId="{D6A24587-731C-4A25-9A2D-F7B9D57FEB99}">
      <dsp:nvSpPr>
        <dsp:cNvPr id="0" name=""/>
        <dsp:cNvSpPr/>
      </dsp:nvSpPr>
      <dsp:spPr>
        <a:xfrm>
          <a:off x="148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4F6158-1A94-44FC-91BC-E89A4D86B4A8}">
      <dsp:nvSpPr>
        <dsp:cNvPr id="0" name=""/>
        <dsp:cNvSpPr/>
      </dsp:nvSpPr>
      <dsp:spPr>
        <a:xfrm>
          <a:off x="11666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903523"/>
        <a:ext cx="1530226" cy="281758"/>
      </dsp:txXfrm>
    </dsp:sp>
    <dsp:sp modelId="{1CB73038-A222-4941-8C90-F684057CF285}">
      <dsp:nvSpPr>
        <dsp:cNvPr id="0" name=""/>
        <dsp:cNvSpPr/>
      </dsp:nvSpPr>
      <dsp:spPr>
        <a:xfrm>
          <a:off x="148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A5672A0-3C08-43D0-964B-BAFE59093755}">
      <dsp:nvSpPr>
        <dsp:cNvPr id="0" name=""/>
        <dsp:cNvSpPr/>
      </dsp:nvSpPr>
      <dsp:spPr>
        <a:xfrm>
          <a:off x="11666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1185281"/>
        <a:ext cx="1530226" cy="281758"/>
      </dsp:txXfrm>
    </dsp:sp>
    <dsp:sp modelId="{51A75234-B519-4E6B-B7F1-D4E09E37A045}">
      <dsp:nvSpPr>
        <dsp:cNvPr id="0" name=""/>
        <dsp:cNvSpPr/>
      </dsp:nvSpPr>
      <dsp:spPr>
        <a:xfrm>
          <a:off x="1729157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B363F7-FF99-4812-AC51-805955FBE717}">
      <dsp:nvSpPr>
        <dsp:cNvPr id="0" name=""/>
        <dsp:cNvSpPr/>
      </dsp:nvSpPr>
      <dsp:spPr>
        <a:xfrm>
          <a:off x="1729157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BD9E12-7E23-420C-A5AD-36CE42A9F86F}">
      <dsp:nvSpPr>
        <dsp:cNvPr id="0" name=""/>
        <dsp:cNvSpPr/>
      </dsp:nvSpPr>
      <dsp:spPr>
        <a:xfrm>
          <a:off x="1729157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Primario</a:t>
          </a:r>
        </a:p>
      </dsp:txBody>
      <dsp:txXfrm>
        <a:off x="1729157" y="0"/>
        <a:ext cx="1645404" cy="347745"/>
      </dsp:txXfrm>
    </dsp:sp>
    <dsp:sp modelId="{C297E5ED-0A40-4CAA-9B37-F9A3269F5A35}">
      <dsp:nvSpPr>
        <dsp:cNvPr id="0" name=""/>
        <dsp:cNvSpPr/>
      </dsp:nvSpPr>
      <dsp:spPr>
        <a:xfrm>
          <a:off x="1729157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E4201AF-8DEC-4682-A8BC-6E8B8DBC8BED}">
      <dsp:nvSpPr>
        <dsp:cNvPr id="0" name=""/>
        <dsp:cNvSpPr/>
      </dsp:nvSpPr>
      <dsp:spPr>
        <a:xfrm>
          <a:off x="1844335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621764"/>
        <a:ext cx="1530226" cy="281758"/>
      </dsp:txXfrm>
    </dsp:sp>
    <dsp:sp modelId="{912ED6D5-15D0-4CB0-B10E-117B055FB909}">
      <dsp:nvSpPr>
        <dsp:cNvPr id="0" name=""/>
        <dsp:cNvSpPr/>
      </dsp:nvSpPr>
      <dsp:spPr>
        <a:xfrm>
          <a:off x="1729157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237FE41-788C-4B35-B18A-FDD4CC5451AD}">
      <dsp:nvSpPr>
        <dsp:cNvPr id="0" name=""/>
        <dsp:cNvSpPr/>
      </dsp:nvSpPr>
      <dsp:spPr>
        <a:xfrm>
          <a:off x="1844335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903523"/>
        <a:ext cx="1530226" cy="281758"/>
      </dsp:txXfrm>
    </dsp:sp>
    <dsp:sp modelId="{C90002D3-43F1-4B34-A9C9-ADA32016D243}">
      <dsp:nvSpPr>
        <dsp:cNvPr id="0" name=""/>
        <dsp:cNvSpPr/>
      </dsp:nvSpPr>
      <dsp:spPr>
        <a:xfrm>
          <a:off x="1729157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CC0864B-EC25-47C1-8D7F-11147F02139B}">
      <dsp:nvSpPr>
        <dsp:cNvPr id="0" name=""/>
        <dsp:cNvSpPr/>
      </dsp:nvSpPr>
      <dsp:spPr>
        <a:xfrm>
          <a:off x="1844335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1185281"/>
        <a:ext cx="1530226" cy="281758"/>
      </dsp:txXfrm>
    </dsp:sp>
    <dsp:sp modelId="{0B121545-2875-48D2-ABF7-AB6E01D72A39}">
      <dsp:nvSpPr>
        <dsp:cNvPr id="0" name=""/>
        <dsp:cNvSpPr/>
      </dsp:nvSpPr>
      <dsp:spPr>
        <a:xfrm>
          <a:off x="345683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3C1985-13ED-4CCB-87E8-D642A38ECF75}">
      <dsp:nvSpPr>
        <dsp:cNvPr id="0" name=""/>
        <dsp:cNvSpPr/>
      </dsp:nvSpPr>
      <dsp:spPr>
        <a:xfrm>
          <a:off x="345683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5DFC7C8-0073-4586-B086-59C10734EFAF}">
      <dsp:nvSpPr>
        <dsp:cNvPr id="0" name=""/>
        <dsp:cNvSpPr/>
      </dsp:nvSpPr>
      <dsp:spPr>
        <a:xfrm>
          <a:off x="345683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Global</a:t>
          </a:r>
        </a:p>
      </dsp:txBody>
      <dsp:txXfrm>
        <a:off x="3456832" y="0"/>
        <a:ext cx="1645404" cy="347745"/>
      </dsp:txXfrm>
    </dsp:sp>
    <dsp:sp modelId="{06C4B1D0-520C-448E-8854-C49B0EA90C58}">
      <dsp:nvSpPr>
        <dsp:cNvPr id="0" name=""/>
        <dsp:cNvSpPr/>
      </dsp:nvSpPr>
      <dsp:spPr>
        <a:xfrm>
          <a:off x="345683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ABF563-516D-43E8-8928-779EEBE899CA}">
      <dsp:nvSpPr>
        <dsp:cNvPr id="0" name=""/>
        <dsp:cNvSpPr/>
      </dsp:nvSpPr>
      <dsp:spPr>
        <a:xfrm>
          <a:off x="357201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621764"/>
        <a:ext cx="1530226" cy="281758"/>
      </dsp:txXfrm>
    </dsp:sp>
    <dsp:sp modelId="{0610B6FC-2EDA-414F-A78D-0956D82BC4E3}">
      <dsp:nvSpPr>
        <dsp:cNvPr id="0" name=""/>
        <dsp:cNvSpPr/>
      </dsp:nvSpPr>
      <dsp:spPr>
        <a:xfrm>
          <a:off x="345683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700CD0A-8922-49C2-8083-22ABCBEC0FE1}">
      <dsp:nvSpPr>
        <dsp:cNvPr id="0" name=""/>
        <dsp:cNvSpPr/>
      </dsp:nvSpPr>
      <dsp:spPr>
        <a:xfrm>
          <a:off x="357201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903523"/>
        <a:ext cx="1530226" cy="281758"/>
      </dsp:txXfrm>
    </dsp:sp>
    <dsp:sp modelId="{AC0141B4-E234-4EBC-ABC6-BF135D842E45}">
      <dsp:nvSpPr>
        <dsp:cNvPr id="0" name=""/>
        <dsp:cNvSpPr/>
      </dsp:nvSpPr>
      <dsp:spPr>
        <a:xfrm>
          <a:off x="345683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ACAE9D-0EBF-45D7-958C-A83B0B63839C}">
      <dsp:nvSpPr>
        <dsp:cNvPr id="0" name=""/>
        <dsp:cNvSpPr/>
      </dsp:nvSpPr>
      <dsp:spPr>
        <a:xfrm>
          <a:off x="357201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1185281"/>
        <a:ext cx="1530226" cy="28175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SquareAccentList">
  <dgm:title val=""/>
  <dgm:desc val=""/>
  <dgm:catLst>
    <dgm:cat type="list" pri="5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clrData>
  <dgm:layoutNode name="layout">
    <dgm:varLst>
      <dgm:chMax/>
      <dgm:chPref/>
      <dgm:dir/>
      <dgm:resizeHandles/>
    </dgm:varLst>
    <dgm:choose name="Name0">
      <dgm:if name="Name1" func="var" arg="dir" op="equ" val="norm">
        <dgm:alg type="hierChild">
          <dgm:param type="linDir" val="fromL"/>
          <dgm:param type="vertAlign" val="t"/>
          <dgm:param type="nodeVertAlign" val="t"/>
          <dgm:param type="horzAlign" val="ctr"/>
          <dgm:param type="fallback" val="1D"/>
        </dgm:alg>
      </dgm:if>
      <dgm:else name="Name2">
        <dgm:alg type="hierChild">
          <dgm:param type="linDir" val="fromR"/>
          <dgm:param type="vertAlign" val="t"/>
          <dgm:param type="nodeVertAlign" val="t"/>
          <dgm:param type="horzAlign" val="ctr"/>
          <dgm:param type="fallback" val="1D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Parent" op="equ" val="65"/>
      <dgm:constr type="primFontSz" for="des" forName="Child" op="equ" val="65"/>
      <dgm:constr type="primFontSz" for="des" forName="Child" refType="primFontSz" refFor="des" refForName="Parent" op="lte"/>
      <dgm:constr type="w" for="des" forName="rootComposite" refType="h" refFor="des" refForName="rootComposite" fact="3.0396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 fact="0.5205"/>
      <dgm:constr type="sibSp" refType="w" refFor="des" refForName="rootComposite" fact="0.05"/>
      <dgm:constr type="sp" for="des" forName="root" refType="h" refFor="des" refForName="childComposite" fact="0.2855"/>
    </dgm:constrLst>
    <dgm:ruleLst/>
    <dgm:forEach name="Name3" axis="ch">
      <dgm:forEach name="Name4" axis="self" ptType="node" cnt="1">
        <dgm:layoutNode name="root">
          <dgm:varLst>
            <dgm:chMax/>
            <dgm:chPref/>
          </dgm:varLst>
          <dgm:alg type="hierRoot">
            <dgm:param type="hierAlign" val="tL"/>
          </dgm:alg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5">
              <dgm:if name="Name6" func="var" arg="dir" op="equ" val="norm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l" for="ch" forName="ParentSmallAccent" refType="w" fact="0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if>
              <dgm:else name="Name7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r" for="ch" forName="ParentSmallAccent" refType="w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else>
            </dgm:choose>
            <dgm:ruleLst/>
            <dgm:layoutNode name="ParentAccent" styleLbl="alignNode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SmallAccent" styleLbl="fgAcc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" styleLbl="revTx">
              <dgm:varLst>
                <dgm:chMax/>
                <dgm:chPref val="4"/>
                <dgm:bulletEnabled val="1"/>
              </dgm:varLst>
              <dgm:choose name="Name8">
                <dgm:if name="Name9" func="var" arg="dir" op="equ" val="norm">
                  <dgm:alg type="tx">
                    <dgm:param type="txAnchorVertCh" val="mid"/>
                    <dgm:param type="parTxLTRAlign" val="l"/>
                  </dgm:alg>
                </dgm:if>
                <dgm:else name="Name10">
                  <dgm:alg type="tx">
                    <dgm:param type="txAnchorVertCh" val="mid"/>
                    <dgm:param type="parTxLTRAlign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self" ptType="node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13">
                    <dgm:if name="Name14" func="var" arg="dir" op="equ" val="norm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l" for="ch" forName="ChildAccent" refType="w" fact="0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l" for="ch" forName="Child" refType="w" fact="0.07"/>
                        <dgm:constr type="t" for="ch" forName="Child" refType="h" fact="0"/>
                      </dgm:constrLst>
                    </dgm:if>
                    <dgm:else name="Name15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r" for="ch" forName="ChildAccent" refType="w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r" for="ch" forName="Child" refType="w" fact="0.93"/>
                        <dgm:constr type="t" for="ch" forName="Child" refType="h" fact="0"/>
                      </dgm:constrLst>
                    </dgm:else>
                  </dgm:choose>
                  <dgm:ruleLst/>
                  <dgm:layoutNode name="ChildAccent" styleLbl="solidFgAcc1">
                    <dgm:alg type="sp"/>
                    <dgm:shape xmlns:r="http://schemas.openxmlformats.org/officeDocument/2006/relationships" type="rect" r:blip="">
                      <dgm:adjLst/>
                    </dgm:shape>
                    <dgm:presOf/>
                  </dgm:layoutNode>
                  <dgm:layoutNode name="Child" styleLbl="revTx">
                    <dgm:varLst>
                      <dgm:chMax val="0"/>
                      <dgm:chPref val="0"/>
                      <dgm:bulletEnabled val="1"/>
                    </dgm:varLst>
                    <dgm:choose name="Name16">
                      <dgm:if name="Name17" func="var" arg="dir" op="equ" val="norm">
                        <dgm:alg type="tx">
                          <dgm:param type="txAnchorVertCh" val="mid"/>
                          <dgm:param type="parTxLTRAlign" val="l"/>
                        </dgm:alg>
                      </dgm:if>
                      <dgm:else name="Name18">
                        <dgm:alg type="tx">
                          <dgm:param type="txAnchorVertCh" val="mid"/>
                          <dgm:param type="parTxLTRAlign" val="r"/>
                        </dgm:alg>
                      </dgm:else>
                    </dgm:choose>
                    <dgm:shape xmlns:r="http://schemas.openxmlformats.org/officeDocument/2006/relationships" type="rect" r:blip="">
                      <dgm:adjLst/>
                    </dgm:shape>
                    <dgm:presOf axis="desOrSelf" ptType="node node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13" Type="http://schemas.openxmlformats.org/officeDocument/2006/relationships/diagramColors" Target="../diagrams/colors4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3.xml"/><Relationship Id="rId12" Type="http://schemas.openxmlformats.org/officeDocument/2006/relationships/diagramQuickStyle" Target="../diagrams/quickStyle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3.xml"/><Relationship Id="rId11" Type="http://schemas.openxmlformats.org/officeDocument/2006/relationships/diagramLayout" Target="../diagrams/layout4.xml"/><Relationship Id="rId5" Type="http://schemas.openxmlformats.org/officeDocument/2006/relationships/diagramLayout" Target="../diagrams/layout3.xml"/><Relationship Id="rId10" Type="http://schemas.openxmlformats.org/officeDocument/2006/relationships/diagramData" Target="../diagrams/data4.xml"/><Relationship Id="rId4" Type="http://schemas.openxmlformats.org/officeDocument/2006/relationships/diagramData" Target="../diagrams/data3.xml"/><Relationship Id="rId9" Type="http://schemas.openxmlformats.org/officeDocument/2006/relationships/image" Target="../media/image4.png"/><Relationship Id="rId14" Type="http://schemas.microsoft.com/office/2007/relationships/diagramDrawing" Target="../diagrams/drawing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-1.163,4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-2,7%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434855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919,2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42839" y="1351990"/>
          <a:ext cx="4252520" cy="274900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560" y="52814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2,1%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4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4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-244,3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2547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(↑10,5%).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abril </a:t>
          </a:r>
          <a:r>
            <a:rPr lang="es-PY" sz="1100" b="1" i="0" baseline="0">
              <a:effectLst/>
              <a:latin typeface="+mn-lt"/>
              <a:ea typeface="+mn-ea"/>
              <a:cs typeface="+mn-cs"/>
            </a:rPr>
            <a:t>(↑59,0%)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↑6,6%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↑14,9%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↑22,9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↑14,0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↑333,2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580,7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338,5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63%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37%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abril,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↑4,7% y ↑17,1%,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83901365-1DC9-43EA-953D-A5B3F562B9C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7735" y="15688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67235</xdr:rowOff>
    </xdr:from>
    <xdr:to>
      <xdr:col>0</xdr:col>
      <xdr:colOff>2780964</xdr:colOff>
      <xdr:row>2</xdr:row>
      <xdr:rowOff>68953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52EBB-4D28-4B11-986B-EB57A9150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12059" y="67235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78441</xdr:rowOff>
    </xdr:from>
    <xdr:to>
      <xdr:col>0</xdr:col>
      <xdr:colOff>2724934</xdr:colOff>
      <xdr:row>2</xdr:row>
      <xdr:rowOff>80159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B463E4-94A8-4EEC-86DF-7E51E621C4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56029" y="7844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796290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10</xdr:row>
      <xdr:rowOff>0</xdr:rowOff>
    </xdr:from>
    <xdr:to>
      <xdr:col>18</xdr:col>
      <xdr:colOff>404532</xdr:colOff>
      <xdr:row>19</xdr:row>
      <xdr:rowOff>35858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C322AFEC-24DD-48C4-8AC2-2AA27190B2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96450" y="22955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A29B1-D878-400B-8D08-56F712FEF60A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782DFF-A9DF-4F86-B277-2BFCE3A7B8C3}"/>
            </a:ext>
          </a:extLst>
        </xdr:cNvPr>
        <xdr:cNvSpPr txBox="1"/>
      </xdr:nvSpPr>
      <xdr:spPr>
        <a:xfrm>
          <a:off x="250825" y="1743075"/>
          <a:ext cx="2038480" cy="132161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B2AD750-E5EF-42CA-9D05-21FDCCD54386}"/>
            </a:ext>
          </a:extLst>
        </xdr:cNvPr>
        <xdr:cNvSpPr txBox="1"/>
      </xdr:nvSpPr>
      <xdr:spPr>
        <a:xfrm>
          <a:off x="2396067" y="1743075"/>
          <a:ext cx="1880040" cy="131938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61CB98B-018D-40AB-A7AA-8EFEDF4109AC}"/>
            </a:ext>
          </a:extLst>
        </xdr:cNvPr>
        <xdr:cNvSpPr/>
      </xdr:nvSpPr>
      <xdr:spPr>
        <a:xfrm>
          <a:off x="254847" y="2706158"/>
          <a:ext cx="2025861" cy="35242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5A1122-2390-4D4E-A8B1-8BB4D7DA0EDD}"/>
            </a:ext>
          </a:extLst>
        </xdr:cNvPr>
        <xdr:cNvSpPr txBox="1"/>
      </xdr:nvSpPr>
      <xdr:spPr>
        <a:xfrm>
          <a:off x="418141" y="1707776"/>
          <a:ext cx="1859492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679B22FB-7610-43E5-80FD-B5CD313B6568}"/>
            </a:ext>
          </a:extLst>
        </xdr:cNvPr>
        <xdr:cNvSpPr txBox="1"/>
      </xdr:nvSpPr>
      <xdr:spPr>
        <a:xfrm>
          <a:off x="437590" y="2149637"/>
          <a:ext cx="1801346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-1.163,4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B676CA-4512-48B0-B646-DD0F348C2351}"/>
            </a:ext>
          </a:extLst>
        </xdr:cNvPr>
        <xdr:cNvSpPr txBox="1"/>
      </xdr:nvSpPr>
      <xdr:spPr>
        <a:xfrm>
          <a:off x="916270" y="2409141"/>
          <a:ext cx="984250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2FF29D22-65B7-4E05-9ACF-F5CF24351EA2}"/>
            </a:ext>
          </a:extLst>
        </xdr:cNvPr>
        <xdr:cNvSpPr txBox="1"/>
      </xdr:nvSpPr>
      <xdr:spPr>
        <a:xfrm>
          <a:off x="539900" y="2696035"/>
          <a:ext cx="827778" cy="34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-2,7%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E94A27E-9A9F-4EFC-AD75-154F5D047D72}"/>
            </a:ext>
          </a:extLst>
        </xdr:cNvPr>
        <xdr:cNvSpPr txBox="1"/>
      </xdr:nvSpPr>
      <xdr:spPr>
        <a:xfrm>
          <a:off x="1161341" y="2696198"/>
          <a:ext cx="121729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2A9FB8-99D8-4DA9-A105-BADFFBFB45FD}"/>
            </a:ext>
          </a:extLst>
        </xdr:cNvPr>
        <xdr:cNvSpPr txBox="1"/>
      </xdr:nvSpPr>
      <xdr:spPr>
        <a:xfrm>
          <a:off x="2624167" y="1730189"/>
          <a:ext cx="1400424" cy="83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7029AA5-B7A2-46D3-9C50-F093401E4F43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4B15AE2C-C17D-4B71-832C-9A7BE0C4306B}"/>
            </a:ext>
          </a:extLst>
        </xdr:cNvPr>
        <xdr:cNvGrpSpPr>
          <a:grpSpLocks/>
        </xdr:cNvGrpSpPr>
      </xdr:nvGrpSpPr>
      <xdr:grpSpPr bwMode="auto">
        <a:xfrm>
          <a:off x="78441" y="5692590"/>
          <a:ext cx="8572500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BC772613-F6F9-4E1C-BD7D-6B5D440CEA1E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C47E2C0C-86B6-42EA-91D3-35A36AD9B63F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94130</xdr:colOff>
      <xdr:row>29</xdr:row>
      <xdr:rowOff>175036</xdr:rowOff>
    </xdr:from>
    <xdr:to>
      <xdr:col>5</xdr:col>
      <xdr:colOff>15920</xdr:colOff>
      <xdr:row>29</xdr:row>
      <xdr:rowOff>175036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8E8DA6-5D15-4FF3-B1B2-57FCF3855133}"/>
            </a:ext>
          </a:extLst>
        </xdr:cNvPr>
        <xdr:cNvCxnSpPr/>
      </xdr:nvCxnSpPr>
      <xdr:spPr>
        <a:xfrm>
          <a:off x="217395" y="5957271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F4B06CF-217C-411B-BA0A-35AD470AC485}"/>
            </a:ext>
          </a:extLst>
        </xdr:cNvPr>
        <xdr:cNvCxnSpPr/>
      </xdr:nvCxnSpPr>
      <xdr:spPr>
        <a:xfrm>
          <a:off x="132790" y="7304554"/>
          <a:ext cx="4144744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C565A013-4427-49B9-859B-86C68FD8AF48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919,2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84A2F3C-4901-49D4-8424-52DCF3AAEC70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91B0DB02-C972-4461-A5AD-522334517BCF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8C5F9F-8289-4C93-8ED4-8E9E637A7809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84A66A4-BA75-4AAE-8032-A9631CA4215C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0</xdr:col>
      <xdr:colOff>56029</xdr:colOff>
      <xdr:row>6</xdr:row>
      <xdr:rowOff>118284</xdr:rowOff>
    </xdr:from>
    <xdr:to>
      <xdr:col>4</xdr:col>
      <xdr:colOff>778372</xdr:colOff>
      <xdr:row>7</xdr:row>
      <xdr:rowOff>103948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04FD6A-ABF7-4B73-A21C-04DBF5684C3C}"/>
            </a:ext>
          </a:extLst>
        </xdr:cNvPr>
        <xdr:cNvSpPr txBox="1"/>
      </xdr:nvSpPr>
      <xdr:spPr>
        <a:xfrm>
          <a:off x="56029" y="1384549"/>
          <a:ext cx="4184961" cy="277017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E54D9E1-CFF2-4BC6-BD62-6FEC238FE337}"/>
            </a:ext>
          </a:extLst>
        </xdr:cNvPr>
        <xdr:cNvSpPr txBox="1"/>
      </xdr:nvSpPr>
      <xdr:spPr>
        <a:xfrm>
          <a:off x="2397335" y="2757520"/>
          <a:ext cx="1879600" cy="300322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7F92525-AE72-47E0-BF36-EA4CF41CFE72}"/>
            </a:ext>
          </a:extLst>
        </xdr:cNvPr>
        <xdr:cNvSpPr txBox="1"/>
      </xdr:nvSpPr>
      <xdr:spPr>
        <a:xfrm>
          <a:off x="3184151" y="2735107"/>
          <a:ext cx="1032932" cy="33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F07EAF93-F230-4819-9319-4AA46DEB5500}"/>
            </a:ext>
          </a:extLst>
        </xdr:cNvPr>
        <xdr:cNvSpPr txBox="1"/>
      </xdr:nvSpPr>
      <xdr:spPr>
        <a:xfrm>
          <a:off x="2581046" y="2733429"/>
          <a:ext cx="887734" cy="305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71E35FA-4EA7-4DDD-ACC5-A525FBE472FB}"/>
            </a:ext>
          </a:extLst>
        </xdr:cNvPr>
        <xdr:cNvSpPr txBox="1"/>
      </xdr:nvSpPr>
      <xdr:spPr>
        <a:xfrm>
          <a:off x="230716" y="3109383"/>
          <a:ext cx="404234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2C2A3D5A-CC66-446E-91B2-4D077C9F94D5}"/>
            </a:ext>
          </a:extLst>
        </xdr:cNvPr>
        <xdr:cNvSpPr/>
      </xdr:nvSpPr>
      <xdr:spPr bwMode="auto">
        <a:xfrm>
          <a:off x="89647" y="1724025"/>
          <a:ext cx="8518152" cy="3371850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4D740FA-2AD0-46D1-A7B8-3DE03CA51170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4B79BBB-FAC0-4248-BD59-C2D6892AA06A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23A263-3947-4C79-9167-417BC556C9BB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7C53C96-586E-4FB1-8FD1-8B7387BB3969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91AA6283-0601-43D9-B49A-F227BF986603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2,1%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15EA9169-7E7F-480A-BDBD-6337271C5463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11A0785-28EF-442A-9569-E61FBD0DAACF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561897</xdr:colOff>
          <xdr:row>28</xdr:row>
          <xdr:rowOff>0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1480E3A7-20FB-45F4-A6F7-701E93B7C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57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7205" y="5076264"/>
              <a:ext cx="909280" cy="2689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82742E1D-79A8-4F8B-A7AC-1A5E20C961B4}"/>
            </a:ext>
          </a:extLst>
        </xdr:cNvPr>
        <xdr:cNvSpPr txBox="1"/>
      </xdr:nvSpPr>
      <xdr:spPr>
        <a:xfrm>
          <a:off x="2795308" y="2180105"/>
          <a:ext cx="1295547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-244,3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F29A74-3A71-4C39-8796-0E12FEA05972}"/>
            </a:ext>
          </a:extLst>
        </xdr:cNvPr>
        <xdr:cNvSpPr txBox="1"/>
      </xdr:nvSpPr>
      <xdr:spPr>
        <a:xfrm>
          <a:off x="2851337" y="2450727"/>
          <a:ext cx="990412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214393</xdr:colOff>
          <xdr:row>27</xdr:row>
          <xdr:rowOff>156882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7F0F6BBB-8C80-4C6A-BE09-0311484B99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57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80409" y="5073774"/>
              <a:ext cx="841925" cy="249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9E367B2-1DBB-4116-9BBD-4FD776FF2E7C}"/>
            </a:ext>
          </a:extLst>
        </xdr:cNvPr>
        <xdr:cNvSpPr txBox="1"/>
      </xdr:nvSpPr>
      <xdr:spPr>
        <a:xfrm>
          <a:off x="202267" y="3413312"/>
          <a:ext cx="3961280" cy="16536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EC1DC2F-115E-4CD5-B720-C0744769CFEE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9066B5-2A71-4F5E-9B92-CED6D6C0C739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E27461F-A306-4A7C-8895-CC631C717A3E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851508-3C5B-44C1-9423-C83C37E4A78E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FBF00872-DE20-499D-A63B-F32DD19214F3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CE0225F0-8CC7-41EC-BFC6-E14410A996E7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C8F8CEA6-EBCA-4F4A-AB0E-CAA6D1BB427C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CB9207B-1ECB-4581-B037-B30FE2F9BBC9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45758627-A2F7-4B94-AA76-6CE85854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F23B219E-4CA2-4CCD-9982-82EFDB58A0BF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716B131-9E70-494B-B9E0-13C3393F0A73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3D9ECDC5-70A1-4C41-B803-51F4E1D338E7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580,7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98B61E4-6C96-44CD-A6E6-7B38BDACC351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A1B3CC2-35EC-4475-B757-135374C3919B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D992FB30-AF87-49DC-ABEE-FDF436795EB0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338,5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AABF2A65-CFD6-4D1A-AE70-0543A975C3DF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A568AE07-068E-4C2A-B7BF-1FB90E285175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63%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0FFDBF68-BA35-4687-AA72-737E30DB8A47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37%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94FC5A80-6929-42FB-A926-F29F11D6D546}"/>
            </a:ext>
          </a:extLst>
        </xdr:cNvPr>
        <xdr:cNvSpPr txBox="1"/>
      </xdr:nvSpPr>
      <xdr:spPr>
        <a:xfrm>
          <a:off x="4406152" y="4226859"/>
          <a:ext cx="4012827" cy="77992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30436011-AE4D-4A6D-A8D1-E66AB3CAB1A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0</xdr:colOff>
      <xdr:row>19</xdr:row>
      <xdr:rowOff>33618</xdr:rowOff>
    </xdr:from>
    <xdr:to>
      <xdr:col>17</xdr:col>
      <xdr:colOff>762000</xdr:colOff>
      <xdr:row>28</xdr:row>
      <xdr:rowOff>44823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79EFC1E-018D-4AE7-9450-E380D090CB07}"/>
            </a:ext>
          </a:extLst>
        </xdr:cNvPr>
        <xdr:cNvSpPr txBox="1"/>
      </xdr:nvSpPr>
      <xdr:spPr>
        <a:xfrm>
          <a:off x="9637059" y="3664324"/>
          <a:ext cx="4628029" cy="1624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↑8,7%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↑12,1%,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respectivamente).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-1</xdr:colOff>
      <xdr:row>19</xdr:row>
      <xdr:rowOff>44823</xdr:rowOff>
    </xdr:from>
    <xdr:to>
      <xdr:col>25</xdr:col>
      <xdr:colOff>773205</xdr:colOff>
      <xdr:row>30</xdr:row>
      <xdr:rowOff>68916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B8D696-6B5F-4FD0-BF94-7A099E7D8ABE}"/>
            </a:ext>
          </a:extLst>
        </xdr:cNvPr>
        <xdr:cNvSpPr txBox="1"/>
      </xdr:nvSpPr>
      <xdr:spPr>
        <a:xfrm>
          <a:off x="14612470" y="4045323"/>
          <a:ext cx="4852147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9</xdr:row>
      <xdr:rowOff>33617</xdr:rowOff>
    </xdr:from>
    <xdr:to>
      <xdr:col>1</xdr:col>
      <xdr:colOff>1714500</xdr:colOff>
      <xdr:row>14</xdr:row>
      <xdr:rowOff>145677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3A8CF4B1-308E-4BDC-B85B-E51643BFA792}"/>
            </a:ext>
          </a:extLst>
        </xdr:cNvPr>
        <xdr:cNvSpPr/>
      </xdr:nvSpPr>
      <xdr:spPr>
        <a:xfrm>
          <a:off x="156882" y="1961029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Operativo</a:t>
          </a:r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9FE04-9F08-4408-AA6B-023B91BF6B00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48558</xdr:colOff>
      <xdr:row>9</xdr:row>
      <xdr:rowOff>145676</xdr:rowOff>
    </xdr:from>
    <xdr:to>
      <xdr:col>16</xdr:col>
      <xdr:colOff>545668</xdr:colOff>
      <xdr:row>17</xdr:row>
      <xdr:rowOff>13325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671824-6C9C-49DF-A92F-3400778C5DC5}"/>
            </a:ext>
          </a:extLst>
        </xdr:cNvPr>
        <xdr:cNvSpPr txBox="1"/>
      </xdr:nvSpPr>
      <xdr:spPr>
        <a:xfrm>
          <a:off x="11119970" y="2073088"/>
          <a:ext cx="2043522" cy="1313208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148166</xdr:colOff>
      <xdr:row>20</xdr:row>
      <xdr:rowOff>0</xdr:rowOff>
    </xdr:from>
    <xdr:to>
      <xdr:col>16</xdr:col>
      <xdr:colOff>482355</xdr:colOff>
      <xdr:row>28</xdr:row>
      <xdr:rowOff>55921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B1A239-84E6-4BF8-95B2-ACC3BEF673AC}"/>
            </a:ext>
          </a:extLst>
        </xdr:cNvPr>
        <xdr:cNvSpPr txBox="1"/>
      </xdr:nvSpPr>
      <xdr:spPr>
        <a:xfrm>
          <a:off x="11219578" y="3910853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52581</xdr:colOff>
      <xdr:row>17</xdr:row>
      <xdr:rowOff>5540</xdr:rowOff>
    </xdr:from>
    <xdr:to>
      <xdr:col>16</xdr:col>
      <xdr:colOff>537072</xdr:colOff>
      <xdr:row>18</xdr:row>
      <xdr:rowOff>175309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D9FD10F-9F9C-4BB8-9AA9-E90255E1628E}"/>
            </a:ext>
          </a:extLst>
        </xdr:cNvPr>
        <xdr:cNvSpPr/>
      </xdr:nvSpPr>
      <xdr:spPr>
        <a:xfrm>
          <a:off x="11123993" y="3378511"/>
          <a:ext cx="2030903" cy="349063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14</xdr:col>
      <xdr:colOff>47787</xdr:colOff>
      <xdr:row>10</xdr:row>
      <xdr:rowOff>0</xdr:rowOff>
    </xdr:from>
    <xdr:to>
      <xdr:col>16</xdr:col>
      <xdr:colOff>365909</xdr:colOff>
      <xdr:row>13</xdr:row>
      <xdr:rowOff>22412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AA86D21-D31F-4CD6-8311-F4F96A7804CF}"/>
            </a:ext>
          </a:extLst>
        </xdr:cNvPr>
        <xdr:cNvSpPr txBox="1"/>
      </xdr:nvSpPr>
      <xdr:spPr>
        <a:xfrm>
          <a:off x="11119199" y="2117912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14</xdr:col>
      <xdr:colOff>44824</xdr:colOff>
      <xdr:row>13</xdr:row>
      <xdr:rowOff>25562</xdr:rowOff>
    </xdr:from>
    <xdr:to>
      <xdr:col>16</xdr:col>
      <xdr:colOff>304800</xdr:colOff>
      <xdr:row>15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77A7E4EA-F6AD-449D-A94D-8EA7AC20C445}"/>
            </a:ext>
          </a:extLst>
        </xdr:cNvPr>
        <xdr:cNvSpPr txBox="1"/>
      </xdr:nvSpPr>
      <xdr:spPr>
        <a:xfrm>
          <a:off x="11116236" y="2681356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-1.163,4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557121</xdr:colOff>
      <xdr:row>14</xdr:row>
      <xdr:rowOff>137709</xdr:rowOff>
    </xdr:from>
    <xdr:to>
      <xdr:col>16</xdr:col>
      <xdr:colOff>1</xdr:colOff>
      <xdr:row>16</xdr:row>
      <xdr:rowOff>44824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91C30BF-1010-4B9B-B870-447521D2326A}"/>
            </a:ext>
          </a:extLst>
        </xdr:cNvPr>
        <xdr:cNvSpPr txBox="1"/>
      </xdr:nvSpPr>
      <xdr:spPr>
        <a:xfrm>
          <a:off x="11628533" y="2972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14</xdr:col>
      <xdr:colOff>337634</xdr:colOff>
      <xdr:row>16</xdr:row>
      <xdr:rowOff>174712</xdr:rowOff>
    </xdr:from>
    <xdr:to>
      <xdr:col>15</xdr:col>
      <xdr:colOff>392206</xdr:colOff>
      <xdr:row>18</xdr:row>
      <xdr:rowOff>152908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54DF0359-7266-439C-BD25-D4AE0FA034E6}"/>
            </a:ext>
          </a:extLst>
        </xdr:cNvPr>
        <xdr:cNvSpPr txBox="1"/>
      </xdr:nvSpPr>
      <xdr:spPr>
        <a:xfrm>
          <a:off x="11409046" y="3368388"/>
          <a:ext cx="827778" cy="336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-2,7%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185869</xdr:colOff>
      <xdr:row>16</xdr:row>
      <xdr:rowOff>174875</xdr:rowOff>
    </xdr:from>
    <xdr:to>
      <xdr:col>16</xdr:col>
      <xdr:colOff>635000</xdr:colOff>
      <xdr:row>18</xdr:row>
      <xdr:rowOff>131937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CA343-5C94-4376-B1A6-951830A71178}"/>
            </a:ext>
          </a:extLst>
        </xdr:cNvPr>
        <xdr:cNvSpPr txBox="1"/>
      </xdr:nvSpPr>
      <xdr:spPr>
        <a:xfrm>
          <a:off x="12030487" y="3368551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376266</xdr:colOff>
      <xdr:row>19</xdr:row>
      <xdr:rowOff>168089</xdr:rowOff>
    </xdr:from>
    <xdr:to>
      <xdr:col>16</xdr:col>
      <xdr:colOff>230839</xdr:colOff>
      <xdr:row>24</xdr:row>
      <xdr:rowOff>100853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8789F80-37D4-4550-A4D6-DA0726A2822C}"/>
            </a:ext>
          </a:extLst>
        </xdr:cNvPr>
        <xdr:cNvSpPr txBox="1"/>
      </xdr:nvSpPr>
      <xdr:spPr>
        <a:xfrm>
          <a:off x="11447678" y="3899648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3B768C3-C067-4699-A464-A57D5087E9DE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FE414D08-EDA5-456E-994B-C24FD775F69B}"/>
            </a:ext>
          </a:extLst>
        </xdr:cNvPr>
        <xdr:cNvGrpSpPr>
          <a:grpSpLocks/>
        </xdr:cNvGrpSpPr>
      </xdr:nvGrpSpPr>
      <xdr:grpSpPr bwMode="auto">
        <a:xfrm>
          <a:off x="78441" y="5636561"/>
          <a:ext cx="8819029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46C9FE9C-D688-4470-A5F6-ABB0255FDE0B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BF6F274F-50D9-497B-B1B5-194276105BFC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0749BA5-ACFC-4898-9656-0108F8821BEC}"/>
            </a:ext>
          </a:extLst>
        </xdr:cNvPr>
        <xdr:cNvCxnSpPr/>
      </xdr:nvCxnSpPr>
      <xdr:spPr>
        <a:xfrm>
          <a:off x="161925" y="5726430"/>
          <a:ext cx="4107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C4CCD77-7E6A-4BCA-8256-9E87821BC2B1}"/>
            </a:ext>
          </a:extLst>
        </xdr:cNvPr>
        <xdr:cNvCxnSpPr/>
      </xdr:nvCxnSpPr>
      <xdr:spPr>
        <a:xfrm>
          <a:off x="133350" y="7096125"/>
          <a:ext cx="413914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29</xdr:row>
      <xdr:rowOff>164950</xdr:rowOff>
    </xdr:from>
    <xdr:to>
      <xdr:col>7</xdr:col>
      <xdr:colOff>190501</xdr:colOff>
      <xdr:row>31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06579E79-E24B-4A19-91E0-64A66C01BE46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919,2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2B2C0C0-E9C5-46FB-8385-3992515E26FD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8648799A-482C-41F4-92CE-A957CC0D3A4C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6320CB-544F-4772-8D21-22493A9854C4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8E62D71-14A9-4B2D-9D0E-DF44FBE8F30A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327FAA4-8BFC-4511-8B2B-781159CF1947}"/>
            </a:ext>
          </a:extLst>
        </xdr:cNvPr>
        <xdr:cNvSpPr txBox="1"/>
      </xdr:nvSpPr>
      <xdr:spPr>
        <a:xfrm>
          <a:off x="123825" y="1351492"/>
          <a:ext cx="4179358" cy="280939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Resultados</a:t>
          </a:r>
        </a:p>
      </xdr:txBody>
    </xdr:sp>
    <xdr:clientData/>
  </xdr:twoCellAnchor>
  <xdr:twoCellAnchor>
    <xdr:from>
      <xdr:col>14</xdr:col>
      <xdr:colOff>149434</xdr:colOff>
      <xdr:row>27</xdr:row>
      <xdr:rowOff>0</xdr:rowOff>
    </xdr:from>
    <xdr:to>
      <xdr:col>16</xdr:col>
      <xdr:colOff>483183</xdr:colOff>
      <xdr:row>28</xdr:row>
      <xdr:rowOff>62509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94233A-7594-465E-BF20-3A5F35C31B03}"/>
            </a:ext>
          </a:extLst>
        </xdr:cNvPr>
        <xdr:cNvSpPr txBox="1"/>
      </xdr:nvSpPr>
      <xdr:spPr>
        <a:xfrm>
          <a:off x="11220846" y="4931461"/>
          <a:ext cx="1880161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15</xdr:col>
      <xdr:colOff>164725</xdr:colOff>
      <xdr:row>27</xdr:row>
      <xdr:rowOff>0</xdr:rowOff>
    </xdr:from>
    <xdr:to>
      <xdr:col>16</xdr:col>
      <xdr:colOff>423331</xdr:colOff>
      <xdr:row>28</xdr:row>
      <xdr:rowOff>62565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39854FA-E2BF-4AD7-81A1-250625472220}"/>
            </a:ext>
          </a:extLst>
        </xdr:cNvPr>
        <xdr:cNvSpPr txBox="1"/>
      </xdr:nvSpPr>
      <xdr:spPr>
        <a:xfrm>
          <a:off x="12009343" y="4897842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14</xdr:col>
      <xdr:colOff>333145</xdr:colOff>
      <xdr:row>27</xdr:row>
      <xdr:rowOff>0</xdr:rowOff>
    </xdr:from>
    <xdr:to>
      <xdr:col>15</xdr:col>
      <xdr:colOff>448234</xdr:colOff>
      <xdr:row>28</xdr:row>
      <xdr:rowOff>32311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26D85A48-28DE-47CE-9CD3-62D14CE69B92}"/>
            </a:ext>
          </a:extLst>
        </xdr:cNvPr>
        <xdr:cNvSpPr txBox="1"/>
      </xdr:nvSpPr>
      <xdr:spPr>
        <a:xfrm>
          <a:off x="11404557" y="4896164"/>
          <a:ext cx="888295" cy="30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739C641D-B49B-4326-B4EE-9ECB63FC0382}"/>
            </a:ext>
          </a:extLst>
        </xdr:cNvPr>
        <xdr:cNvSpPr/>
      </xdr:nvSpPr>
      <xdr:spPr bwMode="auto">
        <a:xfrm>
          <a:off x="89647" y="1719543"/>
          <a:ext cx="8527677" cy="3522569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C208190-4E1D-4699-8E1C-DC6525DF0B4C}"/>
            </a:ext>
          </a:extLst>
        </xdr:cNvPr>
        <xdr:cNvSpPr txBox="1"/>
      </xdr:nvSpPr>
      <xdr:spPr>
        <a:xfrm>
          <a:off x="4333874" y="1352550"/>
          <a:ext cx="4251960" cy="278822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ED9FAF-A398-47AE-B0A3-DB8D745630DF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1DED273-CBAA-4D72-A033-51735BEF3193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D5BDD34-83DA-4FBB-BD0D-D6FC0CFE15A9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9AE4C603-C2A0-4454-A477-490153E63BDB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C89CF2B9-B055-476F-8477-DE4A15EADA6B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2,1%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ED6B246-EA33-47C6-9ABC-9A6578EEB00D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 editAs="oneCell">
    <xdr:from>
      <xdr:col>14</xdr:col>
      <xdr:colOff>470648</xdr:colOff>
      <xdr:row>0</xdr:row>
      <xdr:rowOff>80684</xdr:rowOff>
    </xdr:from>
    <xdr:to>
      <xdr:col>17</xdr:col>
      <xdr:colOff>98612</xdr:colOff>
      <xdr:row>8</xdr:row>
      <xdr:rowOff>94130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Mes 2">
              <a:extLst>
                <a:ext uri="{FF2B5EF4-FFF2-40B4-BE49-F238E27FC236}">
                  <a16:creationId xmlns:a16="http://schemas.microsoft.com/office/drawing/2014/main" id="{FAF50E5E-A697-432C-BACB-7421385CF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8589" y="80684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F58F51B-F75E-4D75-93A8-01FCAE10C147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7</xdr:col>
          <xdr:colOff>620246</xdr:colOff>
          <xdr:row>6</xdr:row>
          <xdr:rowOff>278467</xdr:rowOff>
        </xdr:to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87A5D9C1-6DAF-499A-BD3D-4459AD378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578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1344707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205627</xdr:colOff>
          <xdr:row>28</xdr:row>
          <xdr:rowOff>110377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05100C8F-59D0-48F2-B1A2-6874723269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78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507626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549088</xdr:colOff>
      <xdr:row>22</xdr:row>
      <xdr:rowOff>78442</xdr:rowOff>
    </xdr:from>
    <xdr:to>
      <xdr:col>16</xdr:col>
      <xdr:colOff>297103</xdr:colOff>
      <xdr:row>24</xdr:row>
      <xdr:rowOff>60394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54D1ACAC-6176-4248-B5C9-21A329BB0541}"/>
            </a:ext>
          </a:extLst>
        </xdr:cNvPr>
        <xdr:cNvSpPr txBox="1"/>
      </xdr:nvSpPr>
      <xdr:spPr>
        <a:xfrm>
          <a:off x="11620500" y="4347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-244,3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605117</xdr:colOff>
      <xdr:row>23</xdr:row>
      <xdr:rowOff>168089</xdr:rowOff>
    </xdr:from>
    <xdr:to>
      <xdr:col>16</xdr:col>
      <xdr:colOff>47997</xdr:colOff>
      <xdr:row>27</xdr:row>
      <xdr:rowOff>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FB4B09B-E2BA-4D1C-A41A-F09E8394DBB5}"/>
            </a:ext>
          </a:extLst>
        </xdr:cNvPr>
        <xdr:cNvSpPr txBox="1"/>
      </xdr:nvSpPr>
      <xdr:spPr>
        <a:xfrm>
          <a:off x="11676529" y="4616824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48743</xdr:colOff>
          <xdr:row>28</xdr:row>
          <xdr:rowOff>107887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443AA06E-4940-49C0-9D90-6062F0AAC1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78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07377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D655CB87-3C73-4D02-B349-827C0F309CAF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558008D-3119-4A0A-80BF-1EFE9D3A15F4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F75C8F06-D222-40BC-A016-2A2D490E2A15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09170E-C20A-42A0-B595-37636F8847D2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7DB250C9-C21E-4440-B47A-B92817F8D751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8C29420B-7EB4-4F36-93D1-D51669F6FA2D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B0F9A5BE-680D-4D0A-96D8-884363D1B65A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3BAB0F2-262F-47C2-B2D9-BABDA5182D61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03E2D0B1-B60D-4487-83B9-79041F169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945571B6-9DF0-4FDF-B385-F514EE26856E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AFB890C0-0A32-4E81-81CA-5899D1C87842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C21CEC87-D179-41A9-A041-C4F00942149B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580,7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CC0C895-E025-48F5-92C5-8EDC1EBFCE46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50FED67-FA8D-414D-828E-D64496969FE9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BB711EEF-5DAA-4017-B096-06E1DC727EDD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338,5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1BD4C1D5-AC87-4B7C-BBEC-112CEF0B9997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629E93DC-5545-4BCC-9ABF-A05CE99B56E3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63%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A3FCAB50-FD0D-4DE4-BB6E-654C1668044B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37%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112058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E935A23-85FB-4395-8D89-7349D6CC8D3F}"/>
            </a:ext>
          </a:extLst>
        </xdr:cNvPr>
        <xdr:cNvSpPr txBox="1"/>
      </xdr:nvSpPr>
      <xdr:spPr>
        <a:xfrm>
          <a:off x="4415117" y="4202206"/>
          <a:ext cx="4017869" cy="717176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158787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5FEFFC2-B3B5-4086-B049-011A0F9C0F3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711573</xdr:colOff>
      <xdr:row>8</xdr:row>
      <xdr:rowOff>152400</xdr:rowOff>
    </xdr:from>
    <xdr:to>
      <xdr:col>24</xdr:col>
      <xdr:colOff>414617</xdr:colOff>
      <xdr:row>27</xdr:row>
      <xdr:rowOff>0</xdr:rowOff>
    </xdr:to>
    <xdr:graphicFrame macro="">
      <xdr:nvGraphicFramePr>
        <xdr:cNvPr id="65" name="Diagrama 64">
          <a:extLst>
            <a:ext uri="{FF2B5EF4-FFF2-40B4-BE49-F238E27FC236}">
              <a16:creationId xmlns:a16="http://schemas.microsoft.com/office/drawing/2014/main" id="{0BD16184-ED24-4467-8052-ABEC16A52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1</xdr:col>
      <xdr:colOff>22412</xdr:colOff>
      <xdr:row>15</xdr:row>
      <xdr:rowOff>22412</xdr:rowOff>
    </xdr:from>
    <xdr:to>
      <xdr:col>1</xdr:col>
      <xdr:colOff>1703295</xdr:colOff>
      <xdr:row>20</xdr:row>
      <xdr:rowOff>168089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2D5A9745-11BC-4A0B-8290-C6249FEFDBEB}"/>
            </a:ext>
          </a:extLst>
        </xdr:cNvPr>
        <xdr:cNvSpPr/>
      </xdr:nvSpPr>
      <xdr:spPr>
        <a:xfrm>
          <a:off x="145677" y="3059206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Primario</a:t>
          </a:r>
        </a:p>
      </xdr:txBody>
    </xdr:sp>
    <xdr:clientData/>
  </xdr:twoCellAnchor>
  <xdr:twoCellAnchor>
    <xdr:from>
      <xdr:col>1</xdr:col>
      <xdr:colOff>22412</xdr:colOff>
      <xdr:row>21</xdr:row>
      <xdr:rowOff>22412</xdr:rowOff>
    </xdr:from>
    <xdr:to>
      <xdr:col>1</xdr:col>
      <xdr:colOff>1703295</xdr:colOff>
      <xdr:row>26</xdr:row>
      <xdr:rowOff>168090</xdr:rowOff>
    </xdr:to>
    <xdr:sp macro="" textlink="">
      <xdr:nvSpPr>
        <xdr:cNvPr id="68" name="Rectángulo: esquinas redondeadas 67">
          <a:extLst>
            <a:ext uri="{FF2B5EF4-FFF2-40B4-BE49-F238E27FC236}">
              <a16:creationId xmlns:a16="http://schemas.microsoft.com/office/drawing/2014/main" id="{79A716A2-7EEA-4A25-AFA1-28E39137751C}"/>
            </a:ext>
          </a:extLst>
        </xdr:cNvPr>
        <xdr:cNvSpPr/>
      </xdr:nvSpPr>
      <xdr:spPr>
        <a:xfrm>
          <a:off x="145677" y="4134971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Global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793.407659027776" createdVersion="6" refreshedVersion="6" minRefreshableVersion="3" recordCount="268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4-02T00:00:00" count="268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</sharedItems>
      <fieldGroup par="145" base="0">
        <rangePr groupBy="months" startDate="2003-01-01T00:00:00" endDate="2025-04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4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63908.26932766184"/>
    </cacheField>
    <cacheField name="Tipo de cambio Gs./US$" numFmtId="3">
      <sharedItems containsSemiMixedTypes="0" containsString="0" containsNumber="1" minValue="3873.0454545454545" maxValue="8006.0007500000002"/>
    </cacheField>
    <cacheField name="Ingreso Total (Recaudado)" numFmtId="164">
      <sharedItems containsSemiMixedTypes="0" containsString="0" containsNumber="1" minValue="377.89362093800003" maxValue="5401.0182893279998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433.900684078006"/>
    </cacheField>
    <cacheField name="IT anualizado (% del PIB)" numFmtId="164">
      <sharedItems containsString="0" containsBlank="1" containsNumber="1" minValue="11.588447733995775" maxValue="15.327237002032025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387.6120386270004"/>
    </cacheField>
    <cacheField name="Presión Tributaria" numFmtId="164">
      <sharedItems containsSemiMixedTypes="0" containsString="0" containsNumber="1" minValue="0.44839968072897068" maxValue="1.3053925295676667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39473.237861619004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emiMixedTypes="0" containsString="0" containsNumber="1" minValue="109.87301905599999" maxValue="3039.3518615140001"/>
    </cacheField>
    <cacheField name="Imp. Internos suma 12 meses" numFmtId="164">
      <sharedItems containsString="0" containsBlank="1" containsNumber="1" minValue="1629.2645083789998" maxValue="23574.683512225998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0.53748649574897134" maxValue="1.4795046943974146"/>
    </cacheField>
    <cacheField name="Imp. Externos" numFmtId="164">
      <sharedItems containsSemiMixedTypes="0" containsString="0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5865.903817803601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0.50652024751443703" maxValue="0.90539907155663757"/>
    </cacheField>
    <cacheField name="IVA interno" numFmtId="164">
      <sharedItems containsSemiMixedTypes="0" containsString="0" containsNumber="1" minValue="64.908083879000003" maxValue="1159.2110978649998"/>
    </cacheField>
    <cacheField name="IVA externo" numFmtId="164">
      <sharedItems containsSemiMixedTypes="0" containsString="0" containsNumber="1" minValue="51.21967325" maxValue="796.12872242500009"/>
    </cacheField>
    <cacheField name="% Var. i.a. IVA interno" numFmtId="0">
      <sharedItems containsString="0" containsBlank="1" containsNumber="1" minValue="-0.34079461619260654" maxValue="0.85112320719038315"/>
    </cacheField>
    <cacheField name="% Var. i.a. IVA externo" numFmtId="0">
      <sharedItems containsString="0" containsBlank="1" containsNumber="1" minValue="-0.433960312978935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552635931484986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419.172438133006"/>
    </cacheField>
    <cacheField name="Gasto corr. anualizado (% del PIB)" numFmtId="164">
      <sharedItems containsString="0" containsBlank="1" containsNumber="1" minValue="8.3314725387853326" maxValue="15.451093203891947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2506.465973236995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301.914356582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585048247369528"/>
    </cacheField>
    <cacheField name="Intereses anualizados" numFmtId="164">
      <sharedItems containsString="0" containsBlank="1" containsNumber="1" minValue="244.70811811499999" maxValue="7126.7986133930008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81.7615780929996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37.5252545140004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329.4396523520004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emiMixedTypes="0" containsString="0" containsNumber="1" minValue="45.540552748458985" maxValue="138.80000000000001"/>
    </cacheField>
    <cacheField name="Ingreso Total def." numFmtId="168">
      <sharedItems containsSemiMixedTypes="0" containsString="0" containsNumber="1" minValue="786.57237707066849" maxValue="4033.620828474981"/>
    </cacheField>
    <cacheField name="Ing. Total def. suma 12m" numFmtId="168">
      <sharedItems containsString="0" containsBlank="1" containsNumber="1" minValue="12913.240731654379" maxValue="39014.778037190787"/>
    </cacheField>
    <cacheField name="% Var. Real Ing. Total" numFmtId="0">
      <sharedItems containsString="0" containsBlank="1" containsNumber="1" minValue="-8.931243730535543E-2" maxValue="0.2436866189075575"/>
    </cacheField>
    <cacheField name="Ingresos Tributarios def." numFmtId="168">
      <sharedItems containsSemiMixedTypes="0" containsString="0" containsNumber="1" minValue="496.31831362554675" maxValue="3276.7827024846902"/>
    </cacheField>
    <cacheField name="Ing. Trib. Def Sum12m" numFmtId="168">
      <sharedItems containsString="0" containsBlank="1" containsNumber="1" minValue="7880.3599714699139" maxValue="29247.043732823684"/>
    </cacheField>
    <cacheField name="% Var. Real Ing. Trib." numFmtId="0">
      <sharedItems containsString="0" containsBlank="1" containsNumber="1" minValue="-9.5631702953994036E-2" maxValue="0.28593818702326224"/>
    </cacheField>
    <cacheField name="Gasto Total def." numFmtId="168">
      <sharedItems containsSemiMixedTypes="0" containsString="0" containsNumber="1" minValue="685.00371972586311" maxValue="6163.5255171271183"/>
    </cacheField>
    <cacheField name="Gto. Total def. sum12m" numFmtId="0">
      <sharedItems containsString="0" containsBlank="1" containsNumber="1" minValue="10925.606034873583" maxValue="41549.075805795175"/>
    </cacheField>
    <cacheField name="% Var. Real Gto. Total" numFmtId="0">
      <sharedItems containsString="0" containsBlank="1" containsNumber="1" minValue="-4.2905003520675389E-2" maxValue="0.27326586154238486"/>
    </cacheField>
    <cacheField name="ANANF def." numFmtId="168">
      <sharedItems containsSemiMixedTypes="0" containsString="0" containsNumber="1" minValue="1.9033171740048735" maxValue="2130.1958802094096"/>
    </cacheField>
    <cacheField name="ANANF def. sum12m" numFmtId="0">
      <sharedItems containsString="0" containsBlank="1" containsNumber="1" minValue="1794.6152415661625" maxValue="8292.5770164123915"/>
    </cacheField>
    <cacheField name="% Var. Real ANANF" numFmtId="0">
      <sharedItems containsString="0" containsBlank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4-02T00:00:00"/>
        <groupItems count="6">
          <s v="&lt;1/1/2003"/>
          <s v="Trim.1"/>
          <s v="Trim.2"/>
          <s v="Trim.3"/>
          <s v="Trim.4"/>
          <s v="&gt;2/4/2025"/>
        </groupItems>
      </fieldGroup>
    </cacheField>
    <cacheField name="Años" numFmtId="0" databaseField="0">
      <fieldGroup base="0">
        <rangePr groupBy="years" startDate="2003-01-01T00:00:00" endDate="2025-04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4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6114.38239807717"/>
    <n v="7282.9988636363632"/>
    <n v="3804.6259361790007"/>
    <n v="1.1319438070558347"/>
    <n v="3804.6259361790007"/>
    <n v="44586.405242480003"/>
    <n v="14.10811897296851"/>
    <n v="0.20390421320682117"/>
    <n v="0.20390421320682117"/>
    <n v="7.8861594513988775E-2"/>
    <n v="2901.7446344780005"/>
    <n v="0.8633205796713925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1533892597498098E-2"/>
    <n v="81.670096715"/>
    <n v="2.4298304681968058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371627199700316"/>
    <n v="2802.2402985750005"/>
    <n v="48207.723730370009"/>
    <n v="15.281087537450462"/>
    <n v="2674.2446948890006"/>
    <n v="0.79563530599584942"/>
    <n v="45153.066526154005"/>
    <n v="14.311784976270898"/>
    <n v="2611.5491690860008"/>
    <n v="0.77698227325274394"/>
    <n v="40167.230234141003"/>
    <n v="12.726659414975897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653032743105452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822753505883143"/>
    <n v="-493.62378270876468"/>
    <n v="-1.1729685644819559"/>
    <n v="1065.0811634070003"/>
    <n v="0.31688056780193685"/>
    <n v="37.041825209999999"/>
    <n v="37.041825209999999"/>
    <n v="7941.1911932939993"/>
    <n v="-0.89718776317128424"/>
    <n v="-0.89718776317128424"/>
    <n v="-7.5449712795768842E-2"/>
    <n v="5.0860676904603013"/>
    <n v="1.102060106613632E-2"/>
    <n v="1.102060106613632E-2"/>
    <n v="1087.9561495851285"/>
    <n v="2.5260071583581332"/>
    <n v="0"/>
    <n v="0"/>
    <n v="867.89565939354156"/>
    <n v="0"/>
    <n v="0"/>
    <n v="37.041825209999999"/>
    <n v="5.0860676904603013"/>
    <n v="2839.2821237850003"/>
    <n v="0.84473687306313938"/>
    <n v="965.34381239400034"/>
    <n v="965.34381239400034"/>
    <n v="-11562.509681184001"/>
    <n v="132.54757147003167"/>
    <n v="-1581.5799322938935"/>
    <n v="-4.2157049819851657"/>
    <n v="-4.2157049819851657"/>
    <n v="0.2525605679687164"/>
    <n v="0.28720693399269515"/>
    <n v="-3.6989757228400886"/>
    <n v="1028.0393381970002"/>
    <n v="-6576.673389171001"/>
    <n v="0.30585996673580051"/>
    <n v="-2.1138501615450931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6114.38239807717"/>
    <n v="7285.0480952380958"/>
    <n v="3209.7257207530001"/>
    <n v="0.9549504242729967"/>
    <n v="7014.3516569320009"/>
    <n v="45070.762042180999"/>
    <n v="14.195896235283831"/>
    <n v="0.19178016453667168"/>
    <n v="0.17772155393701228"/>
    <n v="9.8386785163536716E-2"/>
    <n v="2370.0602069780002"/>
    <n v="0.7051350168559638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505350334139095E-2"/>
    <n v="101.03874689"/>
    <n v="3.0060822202584218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09702278556071"/>
    <n v="6603.5938950380005"/>
    <n v="48789.910861641001"/>
    <n v="15.38776533248156"/>
    <n v="3609.0172354829997"/>
    <n v="1.0737467435144321"/>
    <n v="45692.844126209995"/>
    <n v="14.408943846158412"/>
    <n v="3084.7871149109997"/>
    <n v="0.917778969439496"/>
    <n v="40223.281546456994"/>
    <n v="12.680738247387007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596777407493617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01980358261041"/>
    <n v="-507.11785938269333"/>
    <n v="-1.1918690971977328"/>
    <n v="-67.397755137999411"/>
    <n v="-2.0052029507674225E-2"/>
    <n v="184.82380115500004"/>
    <n v="221.86562636500003"/>
    <n v="7590.5398619670004"/>
    <n v="-0.65484148573190204"/>
    <n v="-0.75231612467561426"/>
    <n v="-9.8552988178392309E-2"/>
    <n v="25.370292514034457"/>
    <n v="5.4988364328933684E-2"/>
    <n v="6.6008965395070007E-2"/>
    <n v="1039.8937898168945"/>
    <n v="2.4106150431133573"/>
    <n v="127.433595526"/>
    <n v="17.492485136686682"/>
    <n v="818.99254791984254"/>
    <n v="64.556258688"/>
    <n v="8.8614732317549816"/>
    <n v="57.390205629000036"/>
    <n v="7.8778073773477759"/>
    <n v="3986.1773976179998"/>
    <n v="1.1859585921845408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100816791154408"/>
    <n v="-3.6024841403110903"/>
    <n v="-252.22155629299948"/>
    <n v="-5840.1261016740009"/>
    <n v="-7.5040393836607919E-2"/>
    <n v="-1.8742785415396856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6114.38239807717"/>
    <n v="7317.5874999999996"/>
    <n v="3438.5597139500001"/>
    <n v="1.0230326025970353"/>
    <n v="10452.911370882"/>
    <n v="44845.630694220999"/>
    <n v="14.053195076828722"/>
    <n v="9.462595955147135E-2"/>
    <n v="-6.1449326418541395E-2"/>
    <n v="8.239411996868351E-2"/>
    <n v="2680.8021049700001"/>
    <n v="0.79758625199054745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480129863817998E-2"/>
    <n v="75.467958120999995"/>
    <n v="2.2453058266224235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287479088569329"/>
    <n v="11741.935487316001"/>
    <n v="49594.355024306999"/>
    <n v="15.537529460975211"/>
    <n v="4934.9658988189994"/>
    <n v="1.4682400269841089"/>
    <n v="46635.254238163994"/>
    <n v="14.606810090259685"/>
    <n v="4011.0284479069996"/>
    <n v="1.1933522211365943"/>
    <n v="41026.425096944004"/>
    <n v="12.853387668178245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4887805847514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571530625989758"/>
    <n v="-646.12271358222824"/>
    <n v="-1.4843343841464929"/>
    <n v="-775.84442741599946"/>
    <n v="-0.23082750041238279"/>
    <n v="468.93283557800009"/>
    <n v="690.79846194300012"/>
    <n v="7443.5804879140005"/>
    <n v="-0.23861216582208078"/>
    <n v="-0.54301798360239861"/>
    <n v="-9.8138878342289293E-2"/>
    <n v="64.082983029311251"/>
    <n v="0.13951584940587855"/>
    <n v="0.20552481480094859"/>
    <n v="1018.2541207162531"/>
    <n v="2.3541628565130659"/>
    <n v="387.29189993599999"/>
    <n v="52.926172722362395"/>
    <n v="800.43907243447779"/>
    <n v="0"/>
    <n v="0"/>
    <n v="81.640935642000102"/>
    <n v="11.156810306948854"/>
    <n v="5607.2744278559994"/>
    <n v="1.6682637582628113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523115566577627"/>
    <n v="-3.8384972406595592"/>
    <n v="-1244.7772629939998"/>
    <n v="-6583.47567678"/>
    <n v="-0.37034334981826139"/>
    <n v="-2.085074818578119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6114.38239807717"/>
    <n v="7405.4070454545454"/>
    <n v="5280.9667066130005"/>
    <n v="1.5711814141765839"/>
    <n v="15733.878077495001"/>
    <n v="46369.440206847998"/>
    <n v="14.42890315206988"/>
    <n v="0.18242430552480382"/>
    <n v="0.40557512873460011"/>
    <n v="0.12457329176430854"/>
    <n v="4063.1005273820001"/>
    <n v="1.2088445898663944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6936824955539121E-2"/>
    <n v="321.20730355900002"/>
    <n v="9.5564879213820147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368904998424679"/>
    <n v="15899.302351802002"/>
    <n v="49865.388385138998"/>
    <n v="15.53784457949836"/>
    <n v="3906.993386860001"/>
    <n v="1.1623999422413147"/>
    <n v="46848.506927070994"/>
    <n v="14.593914909791797"/>
    <n v="3433.9365634220012"/>
    <n v="1.0216571331824229"/>
    <n v="41212.001961335991"/>
    <n v="12.841463501733751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074280905889203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429091433411612"/>
    <n v="-476.3871400632197"/>
    <n v="-1.1089414274284839"/>
    <n v="1596.6566655649997"/>
    <n v="0.4750337233930082"/>
    <n v="612.93987192400004"/>
    <n v="1303.7383338670002"/>
    <n v="7169.610256986999"/>
    <n v="-0.30890417196321718"/>
    <n v="-0.4564503791403105"/>
    <n v="-0.15700656939628643"/>
    <n v="82.769234447446593"/>
    <n v="0.18236050107432311"/>
    <n v="0.38788531587527164"/>
    <n v="977.37817541492325"/>
    <n v="2.2543213289663862"/>
    <n v="482.82380087799999"/>
    <n v="65.19881998577759"/>
    <n v="754.93903777228297"/>
    <n v="0"/>
    <n v="0"/>
    <n v="130.11607104600006"/>
    <n v="17.570414461669003"/>
    <n v="4770.3067364100007"/>
    <n v="1.4192510009167909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193041325979301"/>
    <n v="-3.36326275639487"/>
    <n v="983.71679364099964"/>
    <n v="-5029.0534695429997"/>
    <n v="0.29267322231868503"/>
    <n v="-1.6108113483368252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6114.38239807717"/>
    <n v="7506.9517499999993"/>
    <n v="5401.0182893279998"/>
    <n v="1.606898892809443"/>
    <n v="21134.896366822999"/>
    <n v="47509.428525263"/>
    <n v="14.680003641026259"/>
    <n v="0.20306885687654064"/>
    <n v="0.26753820700555608"/>
    <n v="0.1477196403763037"/>
    <n v="4387.6120386270004"/>
    <n v="1.305392529567666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33032230949452E-2"/>
    <n v="155.119391001"/>
    <n v="4.6150774594728383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662453402610918"/>
    <n v="20155.335056865002"/>
    <n v="50376.246560373991"/>
    <n v="15.612429292081689"/>
    <n v="4018.3227295779993"/>
    <n v="1.1955223995202018"/>
    <n v="47331.666838903999"/>
    <n v="14.664599385528891"/>
    <n v="3325.7830593289991"/>
    <n v="0.98947954431480023"/>
    <n v="41587.748176837995"/>
    <n v="12.892283784914234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604285520540158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065355254835133"/>
    <n v="-395.43377333538172"/>
    <n v="-0.93242565105543207"/>
    <n v="1837.5252545140004"/>
    <n v="0.54669640775375294"/>
    <n v="508.08560216199999"/>
    <n v="1811.8239360290002"/>
    <n v="7314.0249025189996"/>
    <n v="0.39710249856143442"/>
    <n v="-0.34407310432219151"/>
    <n v="-0.13160332338033187"/>
    <n v="67.682012497549351"/>
    <n v="0.15116449303268692"/>
    <n v="0.53904980890795851"/>
    <n v="994.60432426980105"/>
    <n v="2.2897709582472405"/>
    <n v="358.75900957499999"/>
    <n v="47.790237838547455"/>
    <n v="772.25378229705859"/>
    <n v="0"/>
    <n v="0"/>
    <n v="149.32659258699999"/>
    <n v="19.891774659001907"/>
    <n v="4764.1183072249996"/>
    <n v="1.4174098332937788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8948905951566444"/>
    <n v="-3.2221966093026726"/>
    <n v="1329.4396523520004"/>
    <n v="-4436.9242755639989"/>
    <n v="0.39553191472106602"/>
    <n v="-1.4498810086880161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6114.38239807717"/>
    <n v="7529.649736842106"/>
    <n v="4396.6861224169998"/>
    <n v="1.308092230700733"/>
    <n v="25531.582489239998"/>
    <n v="48344.980270715001"/>
    <n v="14.854994171632423"/>
    <n v="0.20838847792213744"/>
    <n v="0.23463078249917202"/>
    <n v="0.15236281500721183"/>
    <n v="2655.7522247849997"/>
    <n v="0.79013346761212344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03389185063411E-2"/>
    <n v="115.63039133999999"/>
    <n v="3.4402095654167249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739402554746414"/>
    <n v="24101.117096276001"/>
    <n v="51049.732406850002"/>
    <n v="15.745172000108635"/>
    <n v="3689.903493622"/>
    <n v="1.0978118422947643"/>
    <n v="47919.982318545997"/>
    <n v="14.775530565760896"/>
    <n v="3366.3982402880001"/>
    <n v="1.0015632821986789"/>
    <n v="42103.959679195999"/>
    <n v="12.986958672441361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248560096085511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15197522609176"/>
    <n v="-375.38058800549766"/>
    <n v="-0.89017782847621407"/>
    <n v="774.40933633999975"/>
    <n v="0.23040053532217725"/>
    <n v="529.7948712650001"/>
    <n v="2341.6188072940004"/>
    <n v="7511.590163547"/>
    <n v="0.59466481896982204"/>
    <n v="-0.24328779292924874"/>
    <n v="-6.2116470841602545E-2"/>
    <n v="70.361157528051649"/>
    <n v="0.15762338626662437"/>
    <n v="0.69667319517458304"/>
    <n v="1019.1512083928836"/>
    <n v="2.3416836646203048"/>
    <n v="350.46353503799997"/>
    <n v="46.544467177962311"/>
    <n v="787.93605666233918"/>
    <n v="51.064873304999999"/>
    <n v="6.7818391412209742"/>
    <n v="179.33133622700012"/>
    <n v="23.816690350089338"/>
    <n v="4475.5769106759999"/>
    <n v="1.3315636417412657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471411040532603E-2"/>
    <n v="-3.231861493096519"/>
    <n v="244.61446507499971"/>
    <n v="-4400.3196603320011"/>
    <n v="7.2777149055552909E-2"/>
    <n v="-1.4432895997769826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6114.38239807717"/>
    <n v="7554.6780434782604"/>
    <n v="4743.8921766940002"/>
    <n v="1.4113922001336943"/>
    <n v="30275.474665933998"/>
    <n v="48989.357057457004"/>
    <n v="14.961979582748137"/>
    <n v="0.20006780848579853"/>
    <n v="0.15718364866281065"/>
    <n v="0.15485724534098932"/>
    <n v="3659.0060726440001"/>
    <n v="1.0886193106459976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507985264561355E-2"/>
    <n v="227.37097505699998"/>
    <n v="6.764690443615503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02567616242471"/>
    <n v="28572.301394918002"/>
    <n v="51816.321462114007"/>
    <n v="15.896679878908818"/>
    <n v="3963.3966798389997"/>
    <n v="1.1791809239346829"/>
    <n v="48532.058119517002"/>
    <n v="14.888369424658396"/>
    <n v="3723.3115539649998"/>
    <n v="1.1077513337573559"/>
    <n v="42596.906938884"/>
    <n v="13.066854585339927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429590177326932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135438509447322E-2"/>
    <n v="-393.58459314631392"/>
    <n v="-0.93470029616068206"/>
    <n v="512.79300392600055"/>
    <n v="0.15256502868677427"/>
    <n v="715.2767886649998"/>
    <n v="3056.8955959590003"/>
    <n v="7623.9870538190007"/>
    <n v="0.18643330217444332"/>
    <n v="-0.17321852001962079"/>
    <n v="-4.7613369123333138E-2"/>
    <n v="94.679982991793807"/>
    <n v="0.21280755187020275"/>
    <n v="0.90948074704478576"/>
    <n v="1030.934644817087"/>
    <n v="2.3626635106222031"/>
    <n v="526.55764160399997"/>
    <n v="69.699547561601563"/>
    <n v="803.8561368058663"/>
    <n v="0"/>
    <n v="0"/>
    <n v="188.71914706099983"/>
    <n v="24.980435430192252"/>
    <n v="5186.4610873069996"/>
    <n v="1.54306431349444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167211336075546"/>
    <n v="-3.2973638067828852"/>
    <n v="-202.48378473899928"/>
    <n v="-4515.800277843"/>
    <n v="-6.0242523183428535E-2"/>
    <n v="-1.4758489674644149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6114.38239807717"/>
    <n v="7594.0761904761894"/>
    <n v="3531.4488884879997"/>
    <n v="1.0506687822437564"/>
    <n v="33806.923554421999"/>
    <n v="49164.831673819994"/>
    <n v="14.944825657200868"/>
    <n v="0.1827173369988111"/>
    <n v="5.228723528082635E-2"/>
    <n v="0.14989353376665027"/>
    <n v="2638.0364757970001"/>
    <n v="0.78486271755923886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7804688542091993E-2"/>
    <n v="144.35493190900002"/>
    <n v="4.294815677897210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23475662536388"/>
    <n v="32916.067435668003"/>
    <n v="52660.419908533004"/>
    <n v="16.075483590554551"/>
    <n v="4135.286141732"/>
    <n v="1.2303210925483019"/>
    <n v="49357.344013875998"/>
    <n v="15.065496082345684"/>
    <n v="3455.4918034880002"/>
    <n v="1.0280702000414512"/>
    <n v="43024.734656330009"/>
    <n v="13.13156565313396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225089250685066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167878400988266"/>
    <n v="-480.79520184342789"/>
    <n v="-1.1306579333536846"/>
    <n v="-132.52281401799996"/>
    <n v="-3.9427891503032005E-2"/>
    <n v="645.81966667200004"/>
    <n v="3702.7152626310003"/>
    <n v="7920.2509907469994"/>
    <n v="0.84754421603951746"/>
    <n v="-8.5048938013704056E-2"/>
    <n v="2.4062826769422285E-2"/>
    <n v="85.042558235316278"/>
    <n v="0.19214282413750547"/>
    <n v="1.1016235711822913"/>
    <n v="1067.9162805031281"/>
    <n v="2.4435827330296647"/>
    <n v="477.24601732299999"/>
    <n v="62.844512663899692"/>
    <n v="838.979146515303"/>
    <n v="127.07217031499999"/>
    <n v="16.733064974297012"/>
    <n v="168.57364934900005"/>
    <n v="22.198045571416575"/>
    <n v="4989.5857074220003"/>
    <n v="1.4844903903911446"/>
    <n v="-1458.1368189340001"/>
    <n v="-2811.8591438769986"/>
    <n v="-11415.83922546"/>
    <n v="-192.009769504639"/>
    <n v="-1548.7114823465563"/>
    <n v="1.9561877780999946"/>
    <n v="-0.33432468849233177"/>
    <n v="0.12861682040078559"/>
    <n v="-0.43382160814738813"/>
    <n v="-3.5742406663833495"/>
    <n v="-778.34248069"/>
    <n v="-5083.2298679139985"/>
    <n v="-0.23157071564053744"/>
    <n v="-1.6403102371716245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6114.38239807717"/>
    <n v="7764.5704999999998"/>
    <n v="4370.9542382060008"/>
    <n v="1.3004365380084391"/>
    <n v="38177.877792628002"/>
    <n v="49611.875461653006"/>
    <n v="14.996730370323275"/>
    <n v="0.17441407310098622"/>
    <n v="0.11392813202210195"/>
    <n v="0.15813397783971661"/>
    <n v="3460.8805431460005"/>
    <n v="1.0296734458233048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7790601383231905E-2"/>
    <n v="133.323971091"/>
    <n v="3.966624996519718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501790501116506"/>
    <n v="37454.213411219003"/>
    <n v="53045.797866221008"/>
    <n v="16.104311631960599"/>
    <n v="4267.5260761419995"/>
    <n v="1.2696648223424589"/>
    <n v="49709.526889630004"/>
    <n v="15.089355055431096"/>
    <n v="3292.2966436869992"/>
    <n v="0.97951674075873563"/>
    <n v="43313.737746054001"/>
    <n v="13.155477614165516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014808158372313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4.9742512103211685E-2"/>
    <n v="-470.87431101673809"/>
    <n v="-1.1075812616373204"/>
    <n v="808.03769511000132"/>
    <n v="0.24040556948051145"/>
    <n v="538.2603576869999"/>
    <n v="4240.9756203180004"/>
    <n v="8193.9777676760004"/>
    <n v="1.0347524731818831"/>
    <n v="-1.6342071545816794E-2"/>
    <n v="0.11548726609281079"/>
    <n v="69.322618383978863"/>
    <n v="0.1601420188706805"/>
    <n v="1.2617655900529718"/>
    <n v="1100.8821532689044"/>
    <n v="2.5195539741762953"/>
    <n v="384.97324464299999"/>
    <n v="49.580752038119819"/>
    <n v="864.88886369327599"/>
    <n v="0"/>
    <n v="0"/>
    <n v="153.28711304399991"/>
    <n v="19.741866345859041"/>
    <n v="5076.4063332379992"/>
    <n v="1.51032106898233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0988453097389217"/>
    <n v="-3.6271352358136157"/>
    <n v="269.77733742300143"/>
    <n v="-5232.1110286679977"/>
    <n v="8.0263550609830953E-2"/>
    <n v="-1.69325779454803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6114.38239807717"/>
    <n v="7866.6784782608702"/>
    <n v="3977.2279507849989"/>
    <n v="1.1832959727604182"/>
    <n v="42155.105743412998"/>
    <n v="50145.914102157993"/>
    <n v="15.084453065517355"/>
    <n v="0.1725642875085327"/>
    <n v="0.15509999375014649"/>
    <n v="0.16040546038334558"/>
    <n v="2938.4860406579992"/>
    <n v="0.8742518007390123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2885449952882981E-2"/>
    <n v="136.67292838400002"/>
    <n v="4.066262425573071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817766788909795"/>
    <n v="41762.449179196003"/>
    <n v="53576.672621769001"/>
    <n v="16.184186407699578"/>
    <n v="4021.9349646010005"/>
    <n v="1.1965971036126686"/>
    <n v="50203.394884380003"/>
    <n v="15.163372031923515"/>
    <n v="3511.0730542310002"/>
    <n v="1.044606609565627"/>
    <n v="43783.090532333998"/>
    <n v="13.232252616723727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199049404704157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8480706130561257E-2"/>
    <n v="-467.70048644160602"/>
    <n v="-1.0997333421822235"/>
    <n v="179.85409317799872"/>
    <n v="5.3509787916480311E-2"/>
    <n v="588.54177369600006"/>
    <n v="4829.5173940140003"/>
    <n v="8124.4085024489996"/>
    <n v="-0.10571052772621803"/>
    <n v="-2.8177033198065304E-2"/>
    <n v="0.16941451014367881"/>
    <n v="74.814519917447072"/>
    <n v="0.17510163340733229"/>
    <n v="1.4368672234603042"/>
    <n v="1086.5802107942291"/>
    <n v="2.4852541477908674"/>
    <n v="384.405889468"/>
    <n v="48.865082071205066"/>
    <n v="844.89133805294216"/>
    <n v="0"/>
    <n v="0"/>
    <n v="204.13588422800007"/>
    <n v="25.949437846242002"/>
    <n v="4896.7775416730001"/>
    <n v="1.4568783122983118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358233953789352"/>
    <n v="-3.5849874899730905"/>
    <n v="-408.68768051800134"/>
    <n v="-5134.8626700139994"/>
    <n v="-0.12159184549085197"/>
    <n v="-1.6538680747733023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6114.38239807717"/>
    <n v="7805.0828571428574"/>
    <n v="4457.9907691799999"/>
    <n v="1.3263314522197913"/>
    <n v="46613.096512592994"/>
    <n v="50662.650665901994"/>
    <n v="15.156734159634558"/>
    <n v="0.16846869801436104"/>
    <n v="0.13110967646575244"/>
    <n v="0.16789517941902066"/>
    <n v="3554.6955079149998"/>
    <n v="1.057585064510865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8389270580200954E-2"/>
    <n v="95.311864408000005"/>
    <n v="2.8356972923317923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819990275255238"/>
    <n v="47079.775440107005"/>
    <n v="55080.031561338001"/>
    <n v="16.552635931484986"/>
    <n v="4795.941083912001"/>
    <n v="1.4268776747053706"/>
    <n v="51419.172438133006"/>
    <n v="15.451093203891947"/>
    <n v="3767.9336236840008"/>
    <n v="1.1210271922316752"/>
    <n v="44630.057472934997"/>
    <n v="13.4238702545364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58504824736952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56675753057322"/>
    <n v="-594.90341771061981"/>
    <n v="-1.3959017718504276"/>
    <n v="168.6719684969994"/>
    <n v="5.0182907167963052E-2"/>
    <n v="718.50151981600004"/>
    <n v="5548.0189138300002"/>
    <n v="7914.2913423280006"/>
    <n v="-0.22626850467325821"/>
    <n v="-5.9364953552974442E-2"/>
    <n v="0.10759272482352666"/>
    <n v="92.055591589070715"/>
    <n v="0.21376696667655312"/>
    <n v="1.6506341901368571"/>
    <n v="1053.8578801126062"/>
    <n v="2.4035480169672501"/>
    <n v="384.48282450800002"/>
    <n v="49.260569239971467"/>
    <n v="791.46351517470418"/>
    <n v="0"/>
    <n v="0"/>
    <n v="334.01869530800002"/>
    <n v="42.795022349099249"/>
    <n v="6035.8277807270006"/>
    <n v="1.7957659942020767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6943454198228535"/>
    <n v="-3.7994497888176779"/>
    <n v="-549.82955131900053"/>
    <n v="-5542.5572725660004"/>
    <n v="-0.16358405950859006"/>
    <n v="-1.7722268394622114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6114.38239807717"/>
    <n v="7810.2420000000002"/>
    <n v="4269.2672736470004"/>
    <n v="1.2701828595334228"/>
    <n v="50882.363786239992"/>
    <n v="50882.363786239992"/>
    <n v="15.13840717651215"/>
    <n v="0.15794323729452397"/>
    <n v="5.425612598820706E-2"/>
    <n v="0.15794323729452397"/>
    <n v="2899.823222813"/>
    <n v="0.86274892556623584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182192020729584E-2"/>
    <n v="349.51675932200004"/>
    <n v="0.1039874452346552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7923885131145363"/>
    <n v="53104.251021136006"/>
    <n v="53104.251021136006"/>
    <n v="15.799458101808321"/>
    <n v="5761.804949747002"/>
    <n v="1.7142393338357673"/>
    <n v="49779.337335224001"/>
    <n v="14.810237211529921"/>
    <n v="5562.4376089600019"/>
    <n v="1.6549240080932111"/>
    <n v="43146.026882958002"/>
    <n v="12.836709507972794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315325742556067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220565358111326"/>
    <n v="-281.04094168616604"/>
    <n v="-0.66105092529617093"/>
    <n v="-1555.8409665950012"/>
    <n v="-0.46289032783855716"/>
    <n v="810.47758804299997"/>
    <n v="6358.4965018729999"/>
    <n v="6358.4965018729999"/>
    <n v="-0.65748762556581297"/>
    <n v="-0.23061938274699501"/>
    <n v="-0.23061938274699501"/>
    <n v="103.77112361473561"/>
    <n v="0.24113148097397111"/>
    <n v="1.8917656711108282"/>
    <n v="835.03814243919601"/>
    <n v="1.8917656711108282"/>
    <n v="361.57348667700001"/>
    <n v="46.294786599058007"/>
    <n v="556.4974330351921"/>
    <n v="0"/>
    <n v="0"/>
    <n v="448.90410136599996"/>
    <n v="57.476337015677615"/>
    <n v="6834.9531690720014"/>
    <n v="2.0335199940885071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6333713455508434"/>
    <n v="-2.5528165964069993"/>
    <n v="-2366.3185546380009"/>
    <n v="-1947.0732845029997"/>
    <n v="-0.70402180881252818"/>
    <n v="-0.5792888928498700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63908.26932766184"/>
    <n v="7892.6847727272743"/>
    <n v="4124.7435304300006"/>
    <n v="1.1334569390386935"/>
    <n v="4124.7435304300006"/>
    <n v="51202.481380490994"/>
    <n v="15.139920308495006"/>
    <n v="8.4139045367622955E-2"/>
    <n v="8.4139045367622955E-2"/>
    <n v="0.14838774514406206"/>
    <n v="3170.3205065040006"/>
    <n v="0.87118671756520427"/>
    <n v="3170.3205065040006"/>
    <n v="38478.575472218996"/>
    <n v="9.255668773703607E-2"/>
    <n v="9.255668773703607E-2"/>
    <n v="0.18990411128591411"/>
    <n v="1764.8939616330001"/>
    <n v="23157.069468613001"/>
    <n v="0.20008858693455944"/>
    <n v="4.6715070092461231E-2"/>
    <n v="1364.7977255830001"/>
    <n v="15375.1917051936"/>
    <n v="0.18225535795028391"/>
    <n v="0.15249630383519741"/>
    <n v="1159.2110978649998"/>
    <n v="712.28398651199996"/>
    <n v="6.9590966761734929E-2"/>
    <n v="0.16182686279814495"/>
    <n v="273.42565705699997"/>
    <n v="7.5135873543672724E-2"/>
    <n v="116.16520254999999"/>
    <n v="3.1921561651957191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092081644726151"/>
    <n v="3974.1754129680007"/>
    <n v="54276.186135529002"/>
    <n v="16.057823474537468"/>
    <n v="3828.0010208210006"/>
    <n v="1.0519137220743617"/>
    <n v="50933.093661156003"/>
    <n v="15.066515627608435"/>
    <n v="3271.8173338910005"/>
    <n v="0.899077490032266"/>
    <n v="43806.295047763"/>
    <n v="12.958804724752314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283623204209576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1375294312542499E-2"/>
    <n v="-399.59766066073098"/>
    <n v="-0.91790316604245992"/>
    <n v="706.75180439199994"/>
    <n v="0.19421152635463826"/>
    <n v="380.00272154300001"/>
    <n v="380.00272154300001"/>
    <n v="6701.4573982060001"/>
    <n v="9.2587472239465285"/>
    <n v="9.2587472239465285"/>
    <n v="-0.15611433661676621"/>
    <n v="48.14619264360816"/>
    <n v="0.10442266735105346"/>
    <n v="0.10442266735105346"/>
    <n v="878.09826739234381"/>
    <n v="1.9851677373957455"/>
    <n v="287.77922521900001"/>
    <n v="36.46151259117871"/>
    <n v="592.95894562637079"/>
    <n v="0"/>
    <n v="0"/>
    <n v="92.223496323999996"/>
    <n v="11.684680052429442"/>
    <n v="4354.1781345110012"/>
    <n v="1.1965043120772048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3047373038510948E-2"/>
    <n v="-2.9030709034382052"/>
    <n v="326.74908284899993"/>
    <n v="-2648.363539851"/>
    <n v="8.9788859003584798E-2"/>
    <n v="-0.79536000058208589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63908.26932766184"/>
    <n v="7897.4904999999999"/>
    <n v="3851.9921639730001"/>
    <n v="1.0585063568601347"/>
    <n v="7976.7356944030007"/>
    <n v="51844.747823711004"/>
    <n v="15.243476241082142"/>
    <n v="0.13720213706706796"/>
    <n v="0.20010010172125381"/>
    <n v="0.15029667737124885"/>
    <n v="2713.4203845080001"/>
    <n v="0.74563306558577958"/>
    <n v="5883.7408910120012"/>
    <n v="38821.935649748993"/>
    <n v="0.14487403168876001"/>
    <n v="0.11607714396859037"/>
    <n v="0.18268423894200336"/>
    <n v="1449.17172134"/>
    <n v="23307.812342293"/>
    <n v="0.19236070698284857"/>
    <n v="0.11609636827744985"/>
    <n v="1226.5977791309999"/>
    <n v="15522.0205181776"/>
    <n v="0.17308417877043669"/>
    <n v="0.13598169385061842"/>
    <n v="1010.0511815469999"/>
    <n v="622.01405850599997"/>
    <n v="9.7968408308030996E-2"/>
    <n v="0.10572131106984828"/>
    <n v="277.19387290000003"/>
    <n v="7.6171358626207955E-2"/>
    <n v="133.63602569"/>
    <n v="3.6722448197425969E-2"/>
    <n v="727.74188087499988"/>
    <n v="92.148497155520474"/>
    <n v="377.65804356899997"/>
    <n v="47.82000606002628"/>
    <n v="90.039343427133161"/>
    <n v="186.91150083100001"/>
    <n v="23.66720173085362"/>
    <n v="23.66720173085362"/>
    <n v="163.1723364749999"/>
    <n v="564.56954440000004"/>
    <n v="4084.5110122229999"/>
    <n v="1.1224012633099358"/>
    <n v="8058.686425191001"/>
    <n v="54559.343551288999"/>
    <n v="16.049254509991798"/>
    <n v="3933.971136183"/>
    <n v="1.0810337295855361"/>
    <n v="51258.047561856001"/>
    <n v="15.07380261367954"/>
    <n v="3567.1299206220001"/>
    <n v="0.98022777201860389"/>
    <n v="44288.637853474"/>
    <n v="13.021253527331421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080595756693217"/>
    <n v="6969.4097083820016"/>
    <n v="417.59056264499992"/>
    <n v="862.11454858799993"/>
    <n v="101.501845523"/>
    <n v="-232.51884824999979"/>
    <n v="-81.950730787999873"/>
    <n v="-2714.5957275780011"/>
    <n v="-0.60698463037942707"/>
    <n v="-1.1995110948363474"/>
    <n v="-0.27010295652214689"/>
    <n v="-29.442118132335811"/>
    <n v="-6.3894906449801114E-2"/>
    <n v="-347.82852692820677"/>
    <n v="-0.80577826890965065"/>
    <n v="134.32236731100022"/>
    <n v="3.6911051117131062E-2"/>
    <n v="907.87870943500013"/>
    <n v="1287.881430978"/>
    <n v="7424.5123064859999"/>
    <n v="3.912130925570672"/>
    <n v="4.8047812636791907"/>
    <n v="-2.187295745759732E-2"/>
    <n v="114.95787293887851"/>
    <n v="0.24948009868320664"/>
    <n v="0.35390276603426007"/>
    <n v="967.68584781718789"/>
    <n v="2.1796594717500186"/>
    <n v="413.245992242"/>
    <n v="52.32624113216724"/>
    <n v="627.79270162185139"/>
    <n v="0"/>
    <n v="0"/>
    <n v="494.63271719300013"/>
    <n v="62.631631806711276"/>
    <n v="4992.3897216579999"/>
    <n v="1.3718813619931425"/>
    <n v="-1140.3975576849998"/>
    <n v="-1369.8321617659999"/>
    <n v="-10139.108034064"/>
    <n v="-144.39999107121432"/>
    <n v="-1315.5143747453947"/>
    <n v="0.46872959601229502"/>
    <n v="-8.2519279742892628"/>
    <n v="-0.10350246415583053"/>
    <n v="-0.3133750051330077"/>
    <n v="-2.9854377406596688"/>
    <n v="-773.5563421239998"/>
    <n v="-3169.6983256820008"/>
    <n v="-0.21256904756607556"/>
    <n v="-0.93288865431155343"/>
    <n v="1802.8055951050001"/>
    <n v="1969.285702553"/>
    <n v="136.6"/>
    <n v="2819.906415792826"/>
    <n v="38697.468999259843"/>
    <n v="0.1061611719330359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63908.26932766184"/>
    <n v="7962.8940000000002"/>
    <n v="4027.712574317"/>
    <n v="1.1067933635469163"/>
    <n v="12004.44826872"/>
    <n v="52433.900684078006"/>
    <n v="15.327237002032025"/>
    <n v="0.14843107750439888"/>
    <n v="0.17133710314142503"/>
    <n v="0.16920868036392367"/>
    <n v="3061.0368464620001"/>
    <n v="0.84115616611774557"/>
    <n v="8944.7777374740017"/>
    <n v="39202.170391240994"/>
    <n v="0.14183618432224976"/>
    <n v="0.12476044619480331"/>
    <n v="0.18922763620115735"/>
    <n v="1827.8617192349998"/>
    <n v="23439.842413368999"/>
    <n v="0.18439937392373795"/>
    <n v="7.7855647533959127E-2"/>
    <n v="1227.534921533"/>
    <n v="15666.157697902601"/>
    <n v="0.18135220360547644"/>
    <n v="0.13304179449779907"/>
    <n v="994.83397594399992"/>
    <n v="648.60454022199997"/>
    <n v="9.4522038216515059E-2"/>
    <n v="0.17959282528979936"/>
    <n v="271.668960218"/>
    <n v="7.4653142870295744E-2"/>
    <n v="163.923467147"/>
    <n v="4.5045271284946765E-2"/>
    <n v="531.08330049000006"/>
    <n v="66.694759529638347"/>
    <n v="294.227257861"/>
    <n v="36.949789594210344"/>
    <n v="126.98913302134351"/>
    <n v="12.926224104999999"/>
    <n v="1.6233073182940774"/>
    <n v="25.290509049147698"/>
    <n v="223.92981852400007"/>
    <n v="307.15348196600002"/>
    <n v="5019.9217820459999"/>
    <n v="1.3794470214487153"/>
    <n v="13078.608207237001"/>
    <n v="54440.923741057006"/>
    <n v="15.899953622583581"/>
    <n v="4603.8740828459995"/>
    <n v="1.2651193915851047"/>
    <n v="50926.955745882995"/>
    <n v="14.870681978280532"/>
    <n v="3658.3800428579993"/>
    <n v="1.0053028060112605"/>
    <n v="43935.989448425004"/>
    <n v="12.833204112206088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5981658557384424"/>
    <n v="6990.9662974580006"/>
    <n v="634.20789772899991"/>
    <n v="814.87698024500003"/>
    <n v="218.19763052999997"/>
    <n v="-992.2092077289999"/>
    <n v="-1074.1599385169998"/>
    <n v="-2007.0230569790015"/>
    <n v="-0.41627262863574455"/>
    <n v="-0.16668747712137977"/>
    <n v="-0.57735532377331023"/>
    <n v="-124.60409591399808"/>
    <n v="-0.27265365790179885"/>
    <n v="-240.14542732482988"/>
    <n v="-0.57271662055155192"/>
    <n v="-46.715167740999846"/>
    <n v="-1.283707232795462E-2"/>
    <n v="466.08035353199995"/>
    <n v="1753.9617845099999"/>
    <n v="7421.6598244399993"/>
    <n v="-6.082922392253054E-3"/>
    <n v="1.5390354512033131"/>
    <n v="-2.944908503319521E-3"/>
    <n v="58.531528051484784"/>
    <n v="0.12807632934341009"/>
    <n v="0.48197909537767009"/>
    <n v="962.13439283936134"/>
    <n v="2.1682199516875498"/>
    <n v="323.40904947199999"/>
    <n v="40.614511441694439"/>
    <n v="615.4810403411833"/>
    <n v="0"/>
    <n v="0"/>
    <n v="142.67130405999995"/>
    <n v="17.917016609790355"/>
    <n v="5486.002135578"/>
    <n v="1.5075233507921255"/>
    <n v="-1458.2895612609998"/>
    <n v="-2828.1217230269995"/>
    <n v="-9428.6828814190012"/>
    <n v="-183.13562396548289"/>
    <n v="-1202.2798201641913"/>
    <n v="-0.32757888720433725"/>
    <n v="0.42847230550598714"/>
    <n v="-0.22666936053804621"/>
    <n v="-0.40072998724520897"/>
    <n v="-2.7409365722391015"/>
    <n v="-512.79552127299974"/>
    <n v="-2437.7165839610007"/>
    <n v="-0.14091340167136468"/>
    <n v="-0.70345870616465678"/>
    <n v="1864.0091498310001"/>
    <n v="2028.64170453"/>
    <n v="138.19999999999999"/>
    <n v="2914.4085197662812"/>
    <n v="39014.778037190787"/>
    <n v="0.12389389610753665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  <r>
    <x v="267"/>
    <x v="3"/>
    <x v="3"/>
    <x v="22"/>
    <n v="363908.26932766184"/>
    <n v="8006.0007500000002"/>
    <n v="5200.3202970900002"/>
    <n v="1.4290195456942607"/>
    <n v="17204.768565810002"/>
    <n v="52353.254274555002"/>
    <n v="15.185075133549702"/>
    <n v="9.3485565419430428E-2"/>
    <n v="-1.5271145228393901E-2"/>
    <n v="0.12904650220088909"/>
    <n v="4334.1679977599997"/>
    <n v="1.1910056360542687"/>
    <n v="13278.945735234001"/>
    <n v="39473.237861619004"/>
    <n v="6.6714438530679931E-2"/>
    <n v="0.1051322416245255"/>
    <n v="0.15762509947616543"/>
    <n v="2981.4755750719996"/>
    <n v="23574.683512225998"/>
    <n v="0.14734121712396164"/>
    <n v="4.7368603164073875E-2"/>
    <n v="1367.91120473"/>
    <n v="15865.903817803601"/>
    <n v="0.16616124163360446"/>
    <n v="0.17099134573966435"/>
    <n v="1083.2851380710001"/>
    <n v="712.86291892299994"/>
    <n v="0.18071752338738856"/>
    <n v="0.10503889398357913"/>
    <n v="297.34299517599999"/>
    <n v="8.1708227110462633E-2"/>
    <n v="106.009985837"/>
    <n v="2.9130963699412104E-2"/>
    <n v="462.79931831700003"/>
    <n v="57.806554454419711"/>
    <n v="276.34434612899997"/>
    <n v="34.517152166017468"/>
    <n v="161.50628518736096"/>
    <n v="7.0210299000000003"/>
    <n v="0.87697092708865909"/>
    <n v="26.167479976236358"/>
    <n v="179.43394228800005"/>
    <n v="283.36537602899995"/>
    <n v="4018.5587189970006"/>
    <n v="1.1042779342226772"/>
    <n v="17097.166926234"/>
    <n v="54302.115595568008"/>
    <n v="15.767341056963788"/>
    <n v="3858.1495732490007"/>
    <n v="1.0601983792171361"/>
    <n v="50878.111932272004"/>
    <n v="14.768480415256354"/>
    <n v="3409.5345246110005"/>
    <n v="0.93692142003540635"/>
    <n v="43911.587409614003"/>
    <n v="12.748468399059071"/>
    <n v="-3.3388476411537971E-2"/>
    <n v="7.5340700360744695E-2"/>
    <n v="8.8974083108741109E-2"/>
    <n v="1833.301013004"/>
    <n v="7127.8432016310007"/>
    <n v="22506.465973236995"/>
    <n v="8.4126833751611896E-2"/>
    <n v="7.7557768654395121E-2"/>
    <n v="7.1507505051875864E-2"/>
    <n v="1301.914356582"/>
    <n v="531.38665642199999"/>
    <n v="367.81942645600003"/>
    <n v="448.61504863800002"/>
    <n v="56.034849689215932"/>
    <n v="0.12327695918172951"/>
    <n v="6966.524522658"/>
    <n v="450.15544191600003"/>
    <n v="859.83719743500001"/>
    <n v="58.830591548000001"/>
    <n v="1181.7615780929996"/>
    <n v="107.6016395759998"/>
    <n v="-1948.8613210130015"/>
    <n v="5.1763745227926039E-2"/>
    <n v="-1.6504585861220686"/>
    <n v="-0.44253712537417922"/>
    <n v="147.60947631599953"/>
    <n v="0.32474161147158359"/>
    <n v="-244.26290338704808"/>
    <n v="-0.58226592341408456"/>
    <n v="1630.3766267309995"/>
    <n v="0.44801857065331308"/>
    <n v="318.76106640099999"/>
    <n v="2072.722850911"/>
    <n v="7127.4810189169993"/>
    <n v="-0.47994724931106458"/>
    <n v="0.58983041080269971"/>
    <n v="-5.8760848302658042E-3"/>
    <n v="39.81526811635635"/>
    <n v="8.759379581836009E-2"/>
    <n v="0.56957289119603016"/>
    <n v="919.18042650827113"/>
    <n v="2.0734532464315869"/>
    <n v="243.17422499700001"/>
    <n v="30.373994780977256"/>
    <n v="580.65621513638291"/>
    <n v="0"/>
    <n v="0"/>
    <n v="75.586841403999983"/>
    <n v="9.441273335379087"/>
    <n v="4337.3197853980009"/>
    <n v="1.1918717300410375"/>
    <n v="863.00051169199958"/>
    <n v="-1965.1212113349998"/>
    <n v="-9076.3423399299991"/>
    <n v="107.79420819964319"/>
    <n v="-1163.443329895319"/>
    <n v="0.68997094357902422"/>
    <n v="0.3375791082631896"/>
    <n v="-0.14900449001258298"/>
    <n v="0.23714781565322349"/>
    <n v="-2.6557191698456712"/>
    <n v="1311.6155603299997"/>
    <n v="-2109.8178172720009"/>
    <n v="0.36042477483495305"/>
    <n v="-0.63570715364838859"/>
    <n v="1804.9971295329999"/>
    <n v="1964.1901361749999"/>
    <n v="138.80000000000001"/>
    <n v="3746.6284561167145"/>
    <n v="38802.660836176314"/>
    <n v="8.5563301427691307E-2"/>
    <n v="3122.5994220172906"/>
    <n v="29247.043732823684"/>
    <n v="0.11300044483939709"/>
    <n v="2895.2152154157061"/>
    <n v="40259.651174555554"/>
    <n v="4.7581459891002931E-2"/>
    <n v="229.65494697478385"/>
    <n v="5290.9156530015462"/>
    <n v="-4.301247940666341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6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59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0">
    <i>
      <x v="18"/>
      <x v="8"/>
    </i>
    <i r="1">
      <x v="9"/>
    </i>
    <i r="1">
      <x v="10"/>
    </i>
    <i r="1">
      <x v="11"/>
    </i>
    <i>
      <x v="19"/>
      <x v="8"/>
    </i>
    <i r="1">
      <x v="9"/>
    </i>
    <i r="1">
      <x v="10"/>
    </i>
    <i r="1">
      <x v="11"/>
    </i>
    <i>
      <x v="20"/>
      <x v="8"/>
    </i>
    <i r="1">
      <x v="9"/>
    </i>
    <i r="1">
      <x v="10"/>
    </i>
    <i r="1">
      <x v="11"/>
    </i>
    <i>
      <x v="21"/>
      <x v="8"/>
    </i>
    <i r="1">
      <x v="9"/>
    </i>
    <i r="1">
      <x v="10"/>
    </i>
    <i r="1">
      <x v="11"/>
    </i>
    <i>
      <x v="22"/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73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0">
    <i>
      <x v="18"/>
      <x v="8"/>
    </i>
    <i r="1">
      <x v="9"/>
    </i>
    <i r="1">
      <x v="10"/>
    </i>
    <i r="1">
      <x v="11"/>
    </i>
    <i>
      <x v="19"/>
      <x v="8"/>
    </i>
    <i r="1">
      <x v="9"/>
    </i>
    <i r="1">
      <x v="10"/>
    </i>
    <i r="1">
      <x v="11"/>
    </i>
    <i>
      <x v="20"/>
      <x v="8"/>
    </i>
    <i r="1">
      <x v="9"/>
    </i>
    <i r="1">
      <x v="10"/>
    </i>
    <i r="1">
      <x v="11"/>
    </i>
    <i>
      <x v="21"/>
      <x v="8"/>
    </i>
    <i r="1">
      <x v="9"/>
    </i>
    <i r="1">
      <x v="10"/>
    </i>
    <i r="1">
      <x v="11"/>
    </i>
    <i>
      <x v="22"/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59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0">
    <i>
      <x v="18"/>
      <x v="8"/>
    </i>
    <i r="1">
      <x v="9"/>
    </i>
    <i r="1">
      <x v="10"/>
    </i>
    <i r="1">
      <x v="11"/>
    </i>
    <i>
      <x v="19"/>
      <x v="8"/>
    </i>
    <i r="1">
      <x v="9"/>
    </i>
    <i r="1">
      <x v="10"/>
    </i>
    <i r="1">
      <x v="11"/>
    </i>
    <i>
      <x v="20"/>
      <x v="8"/>
    </i>
    <i r="1">
      <x v="9"/>
    </i>
    <i r="1">
      <x v="10"/>
    </i>
    <i r="1">
      <x v="11"/>
    </i>
    <i>
      <x v="21"/>
      <x v="8"/>
    </i>
    <i r="1">
      <x v="9"/>
    </i>
    <i r="1">
      <x v="10"/>
    </i>
    <i r="1">
      <x v="11"/>
    </i>
    <i>
      <x v="22"/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BD90F-9B21-430E-A8D1-D5D420613510}" name="Ingr_Binacionales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3:L8" firstHeaderRow="0" firstDataRow="1" firstDataCol="1" rowPageCount="1" colPageCount="1"/>
  <pivotFields count="147">
    <pivotField numFmtId="17" showAll="0"/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8" showAll="0"/>
    <pivotField numFmtId="168" showAll="0"/>
    <pivotField numFmtId="164"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 defaultSubtotal="0"/>
    <pivotField showAll="0" defaultSubtotal="0"/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Itaipú " fld="39" baseField="3" baseItem="18" numFmtId="168"/>
    <dataField name="Yacyretá " fld="42" baseField="3" baseItem="22" numFmtId="168"/>
    <dataField name="Binacionales " fld="46" baseField="3" baseItem="18" numFmtId="168"/>
    <dataField name="% Var." fld="46" showDataAs="percentDiff" baseField="3" baseItem="1048828" numFmtId="169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outline="0" fieldPosition="0">
        <references count="1">
          <reference field="4294967294" count="1">
            <x v="4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73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0">
    <i>
      <x v="18"/>
      <x v="8"/>
    </i>
    <i r="1">
      <x v="9"/>
    </i>
    <i r="1">
      <x v="10"/>
    </i>
    <i r="1">
      <x v="11"/>
    </i>
    <i>
      <x v="19"/>
      <x v="8"/>
    </i>
    <i r="1">
      <x v="9"/>
    </i>
    <i r="1">
      <x v="10"/>
    </i>
    <i r="1">
      <x v="11"/>
    </i>
    <i>
      <x v="20"/>
      <x v="8"/>
    </i>
    <i r="1">
      <x v="9"/>
    </i>
    <i r="1">
      <x v="10"/>
    </i>
    <i r="1">
      <x v="11"/>
    </i>
    <i>
      <x v="21"/>
      <x v="8"/>
    </i>
    <i r="1">
      <x v="9"/>
    </i>
    <i r="1">
      <x v="10"/>
    </i>
    <i r="1">
      <x v="11"/>
    </i>
    <i>
      <x v="22"/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4">
      <pivotArea dataOnly="0" labelOnly="1" outline="0" axis="axisValues" fieldPosition="0"/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74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0">
    <i>
      <x v="18"/>
      <x v="8"/>
    </i>
    <i r="1">
      <x v="9"/>
    </i>
    <i r="1">
      <x v="10"/>
    </i>
    <i r="1">
      <x v="11"/>
    </i>
    <i>
      <x v="19"/>
      <x v="8"/>
    </i>
    <i r="1">
      <x v="9"/>
    </i>
    <i r="1">
      <x v="10"/>
    </i>
    <i r="1">
      <x v="11"/>
    </i>
    <i>
      <x v="20"/>
      <x v="8"/>
    </i>
    <i r="1">
      <x v="9"/>
    </i>
    <i r="1">
      <x v="10"/>
    </i>
    <i r="1">
      <x v="11"/>
    </i>
    <i>
      <x v="21"/>
      <x v="8"/>
    </i>
    <i r="1">
      <x v="9"/>
    </i>
    <i r="1">
      <x v="10"/>
    </i>
    <i r="1">
      <x v="11"/>
    </i>
    <i>
      <x v="22"/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22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20">
    <i>
      <x v="18"/>
      <x v="10"/>
      <x v="3"/>
    </i>
    <i r="1">
      <x v="11"/>
      <x v="2"/>
    </i>
    <i r="1">
      <x v="12"/>
      <x v="1"/>
    </i>
    <i r="1">
      <x v="13"/>
      <x/>
    </i>
    <i>
      <x v="19"/>
      <x v="10"/>
      <x v="3"/>
    </i>
    <i r="1">
      <x v="11"/>
      <x v="2"/>
    </i>
    <i r="1">
      <x v="12"/>
      <x v="1"/>
    </i>
    <i r="1">
      <x v="13"/>
      <x/>
    </i>
    <i>
      <x v="20"/>
      <x v="10"/>
      <x v="3"/>
    </i>
    <i r="1">
      <x v="11"/>
      <x v="2"/>
    </i>
    <i r="1">
      <x v="12"/>
      <x v="1"/>
    </i>
    <i r="1">
      <x v="13"/>
      <x/>
    </i>
    <i>
      <x v="21"/>
      <x v="10"/>
      <x v="3"/>
    </i>
    <i r="1">
      <x v="11"/>
      <x v="2"/>
    </i>
    <i r="1">
      <x v="12"/>
      <x v="1"/>
    </i>
    <i r="1">
      <x v="13"/>
      <x/>
    </i>
    <i>
      <x v="22"/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  <pivotTable tabId="10" name="Ingr_Binacionales"/>
  </pivotTables>
  <data>
    <tabular pivotCacheId="1881808018">
      <items count="12">
        <i x="0" s="1"/>
        <i x="1" s="1"/>
        <i x="2" s="1"/>
        <i x="3" s="1"/>
        <i x="4"/>
        <i x="5"/>
        <i x="6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  <pivotTable tabId="10" name="Ingr_Binacionales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34C29ECC-32F1-480C-A668-8145C446AB7C}" cache="SegmentaciónDeDatos_Mes" caption="Mes" columnCount="2" showCaption="0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853D9D7-9D25-4B6C-A721-232791D9899D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drawing" Target="../drawings/drawing4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6" Type="http://schemas.openxmlformats.org/officeDocument/2006/relationships/comments" Target="../comments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microsoft.com/office/2007/relationships/slicer" Target="../slicers/slicer1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VN68"/>
  <sheetViews>
    <sheetView showGridLines="0" showRowColHeaders="0" tabSelected="1" zoomScale="85" zoomScaleNormal="85" workbookViewId="0">
      <selection activeCell="M7" sqref="M7"/>
    </sheetView>
  </sheetViews>
  <sheetFormatPr baseColWidth="10" defaultColWidth="0" defaultRowHeight="14.25" zeroHeight="1" x14ac:dyDescent="0.2"/>
  <cols>
    <col min="1" max="1" width="1.85546875" style="74" customWidth="1"/>
    <col min="2" max="2" width="26.140625" style="74" customWidth="1"/>
    <col min="3" max="3" width="11.5703125" style="74" customWidth="1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3" width="11.5703125" style="74" customWidth="1"/>
    <col min="14" max="257" width="11.5703125" style="74" hidden="1"/>
    <col min="258" max="258" width="20.7109375" style="74" hidden="1"/>
    <col min="259" max="259" width="11.5703125" style="74" hidden="1"/>
    <col min="260" max="261" width="12.28515625" style="74" hidden="1"/>
    <col min="262" max="262" width="21.7109375" style="74" hidden="1"/>
    <col min="263" max="513" width="11.5703125" style="74" hidden="1"/>
    <col min="514" max="514" width="20.7109375" style="74" hidden="1"/>
    <col min="515" max="515" width="11.5703125" style="74" hidden="1"/>
    <col min="516" max="517" width="12.28515625" style="74" hidden="1"/>
    <col min="518" max="518" width="21.7109375" style="74" hidden="1"/>
    <col min="519" max="769" width="11.5703125" style="74" hidden="1"/>
    <col min="770" max="770" width="20.7109375" style="74" hidden="1"/>
    <col min="771" max="771" width="11.5703125" style="74" hidden="1"/>
    <col min="772" max="773" width="12.28515625" style="74" hidden="1"/>
    <col min="774" max="774" width="21.7109375" style="74" hidden="1"/>
    <col min="775" max="1025" width="11.5703125" style="74" hidden="1"/>
    <col min="1026" max="1026" width="20.7109375" style="74" hidden="1"/>
    <col min="1027" max="1027" width="11.5703125" style="74" hidden="1"/>
    <col min="1028" max="1029" width="12.28515625" style="74" hidden="1"/>
    <col min="1030" max="1030" width="21.7109375" style="74" hidden="1"/>
    <col min="1031" max="1281" width="11.5703125" style="74" hidden="1"/>
    <col min="1282" max="1282" width="20.7109375" style="74" hidden="1"/>
    <col min="1283" max="1283" width="11.5703125" style="74" hidden="1"/>
    <col min="1284" max="1285" width="12.28515625" style="74" hidden="1"/>
    <col min="1286" max="1286" width="21.7109375" style="74" hidden="1"/>
    <col min="1287" max="1537" width="11.5703125" style="74" hidden="1"/>
    <col min="1538" max="1538" width="20.7109375" style="74" hidden="1"/>
    <col min="1539" max="1539" width="11.5703125" style="74" hidden="1"/>
    <col min="1540" max="1541" width="12.28515625" style="74" hidden="1"/>
    <col min="1542" max="1542" width="21.7109375" style="74" hidden="1"/>
    <col min="1543" max="1793" width="11.5703125" style="74" hidden="1"/>
    <col min="1794" max="1794" width="20.7109375" style="74" hidden="1"/>
    <col min="1795" max="1795" width="11.5703125" style="74" hidden="1"/>
    <col min="1796" max="1797" width="12.28515625" style="74" hidden="1"/>
    <col min="1798" max="1798" width="21.7109375" style="74" hidden="1"/>
    <col min="1799" max="2049" width="11.5703125" style="74" hidden="1"/>
    <col min="2050" max="2050" width="20.7109375" style="74" hidden="1"/>
    <col min="2051" max="2051" width="11.5703125" style="74" hidden="1"/>
    <col min="2052" max="2053" width="12.28515625" style="74" hidden="1"/>
    <col min="2054" max="2054" width="21.7109375" style="74" hidden="1"/>
    <col min="2055" max="2305" width="11.5703125" style="74" hidden="1"/>
    <col min="2306" max="2306" width="20.7109375" style="74" hidden="1"/>
    <col min="2307" max="2307" width="11.5703125" style="74" hidden="1"/>
    <col min="2308" max="2309" width="12.28515625" style="74" hidden="1"/>
    <col min="2310" max="2310" width="21.7109375" style="74" hidden="1"/>
    <col min="2311" max="2561" width="11.5703125" style="74" hidden="1"/>
    <col min="2562" max="2562" width="20.7109375" style="74" hidden="1"/>
    <col min="2563" max="2563" width="11.5703125" style="74" hidden="1"/>
    <col min="2564" max="2565" width="12.28515625" style="74" hidden="1"/>
    <col min="2566" max="2566" width="21.7109375" style="74" hidden="1"/>
    <col min="2567" max="2817" width="11.5703125" style="74" hidden="1"/>
    <col min="2818" max="2818" width="20.7109375" style="74" hidden="1"/>
    <col min="2819" max="2819" width="11.5703125" style="74" hidden="1"/>
    <col min="2820" max="2821" width="12.28515625" style="74" hidden="1"/>
    <col min="2822" max="2822" width="21.7109375" style="74" hidden="1"/>
    <col min="2823" max="3073" width="11.5703125" style="74" hidden="1"/>
    <col min="3074" max="3074" width="20.7109375" style="74" hidden="1"/>
    <col min="3075" max="3075" width="11.5703125" style="74" hidden="1"/>
    <col min="3076" max="3077" width="12.28515625" style="74" hidden="1"/>
    <col min="3078" max="3078" width="21.7109375" style="74" hidden="1"/>
    <col min="3079" max="3329" width="11.5703125" style="74" hidden="1"/>
    <col min="3330" max="3330" width="20.7109375" style="74" hidden="1"/>
    <col min="3331" max="3331" width="11.5703125" style="74" hidden="1"/>
    <col min="3332" max="3333" width="12.28515625" style="74" hidden="1"/>
    <col min="3334" max="3334" width="21.7109375" style="74" hidden="1"/>
    <col min="3335" max="3585" width="11.5703125" style="74" hidden="1"/>
    <col min="3586" max="3586" width="20.7109375" style="74" hidden="1"/>
    <col min="3587" max="3587" width="11.5703125" style="74" hidden="1"/>
    <col min="3588" max="3589" width="12.28515625" style="74" hidden="1"/>
    <col min="3590" max="3590" width="21.7109375" style="74" hidden="1"/>
    <col min="3591" max="3841" width="11.5703125" style="74" hidden="1"/>
    <col min="3842" max="3842" width="20.7109375" style="74" hidden="1"/>
    <col min="3843" max="3843" width="11.5703125" style="74" hidden="1"/>
    <col min="3844" max="3845" width="12.28515625" style="74" hidden="1"/>
    <col min="3846" max="3846" width="21.7109375" style="74" hidden="1"/>
    <col min="3847" max="4097" width="11.5703125" style="74" hidden="1"/>
    <col min="4098" max="4098" width="20.7109375" style="74" hidden="1"/>
    <col min="4099" max="4099" width="11.5703125" style="74" hidden="1"/>
    <col min="4100" max="4101" width="12.28515625" style="74" hidden="1"/>
    <col min="4102" max="4102" width="21.7109375" style="74" hidden="1"/>
    <col min="4103" max="4353" width="11.5703125" style="74" hidden="1"/>
    <col min="4354" max="4354" width="20.7109375" style="74" hidden="1"/>
    <col min="4355" max="4355" width="11.5703125" style="74" hidden="1"/>
    <col min="4356" max="4357" width="12.28515625" style="74" hidden="1"/>
    <col min="4358" max="4358" width="21.7109375" style="74" hidden="1"/>
    <col min="4359" max="4609" width="11.5703125" style="74" hidden="1"/>
    <col min="4610" max="4610" width="20.7109375" style="74" hidden="1"/>
    <col min="4611" max="4611" width="11.5703125" style="74" hidden="1"/>
    <col min="4612" max="4613" width="12.28515625" style="74" hidden="1"/>
    <col min="4614" max="4614" width="21.7109375" style="74" hidden="1"/>
    <col min="4615" max="4865" width="11.5703125" style="74" hidden="1"/>
    <col min="4866" max="4866" width="20.7109375" style="74" hidden="1"/>
    <col min="4867" max="4867" width="11.5703125" style="74" hidden="1"/>
    <col min="4868" max="4869" width="12.28515625" style="74" hidden="1"/>
    <col min="4870" max="4870" width="21.7109375" style="74" hidden="1"/>
    <col min="4871" max="5121" width="11.5703125" style="74" hidden="1"/>
    <col min="5122" max="5122" width="20.7109375" style="74" hidden="1"/>
    <col min="5123" max="5123" width="11.5703125" style="74" hidden="1"/>
    <col min="5124" max="5125" width="12.28515625" style="74" hidden="1"/>
    <col min="5126" max="5126" width="21.7109375" style="74" hidden="1"/>
    <col min="5127" max="5377" width="11.5703125" style="74" hidden="1"/>
    <col min="5378" max="5378" width="20.7109375" style="74" hidden="1"/>
    <col min="5379" max="5379" width="11.5703125" style="74" hidden="1"/>
    <col min="5380" max="5381" width="12.28515625" style="74" hidden="1"/>
    <col min="5382" max="5382" width="21.7109375" style="74" hidden="1"/>
    <col min="5383" max="5633" width="11.5703125" style="74" hidden="1"/>
    <col min="5634" max="5634" width="20.7109375" style="74" hidden="1"/>
    <col min="5635" max="5635" width="11.5703125" style="74" hidden="1"/>
    <col min="5636" max="5637" width="12.28515625" style="74" hidden="1"/>
    <col min="5638" max="5638" width="21.7109375" style="74" hidden="1"/>
    <col min="5639" max="5889" width="11.5703125" style="74" hidden="1"/>
    <col min="5890" max="5890" width="20.7109375" style="74" hidden="1"/>
    <col min="5891" max="5891" width="11.5703125" style="74" hidden="1"/>
    <col min="5892" max="5893" width="12.28515625" style="74" hidden="1"/>
    <col min="5894" max="5894" width="21.7109375" style="74" hidden="1"/>
    <col min="5895" max="6145" width="11.5703125" style="74" hidden="1"/>
    <col min="6146" max="6146" width="20.7109375" style="74" hidden="1"/>
    <col min="6147" max="6147" width="11.5703125" style="74" hidden="1"/>
    <col min="6148" max="6149" width="12.28515625" style="74" hidden="1"/>
    <col min="6150" max="6150" width="21.7109375" style="74" hidden="1"/>
    <col min="6151" max="6401" width="11.5703125" style="74" hidden="1"/>
    <col min="6402" max="6402" width="20.7109375" style="74" hidden="1"/>
    <col min="6403" max="6403" width="11.5703125" style="74" hidden="1"/>
    <col min="6404" max="6405" width="12.28515625" style="74" hidden="1"/>
    <col min="6406" max="6406" width="21.7109375" style="74" hidden="1"/>
    <col min="6407" max="6657" width="11.5703125" style="74" hidden="1"/>
    <col min="6658" max="6658" width="20.7109375" style="74" hidden="1"/>
    <col min="6659" max="6659" width="11.5703125" style="74" hidden="1"/>
    <col min="6660" max="6661" width="12.28515625" style="74" hidden="1"/>
    <col min="6662" max="6662" width="21.7109375" style="74" hidden="1"/>
    <col min="6663" max="6913" width="11.5703125" style="74" hidden="1"/>
    <col min="6914" max="6914" width="20.7109375" style="74" hidden="1"/>
    <col min="6915" max="6915" width="11.5703125" style="74" hidden="1"/>
    <col min="6916" max="6917" width="12.28515625" style="74" hidden="1"/>
    <col min="6918" max="6918" width="21.7109375" style="74" hidden="1"/>
    <col min="6919" max="7169" width="11.5703125" style="74" hidden="1"/>
    <col min="7170" max="7170" width="20.7109375" style="74" hidden="1"/>
    <col min="7171" max="7171" width="11.5703125" style="74" hidden="1"/>
    <col min="7172" max="7173" width="12.28515625" style="74" hidden="1"/>
    <col min="7174" max="7174" width="21.7109375" style="74" hidden="1"/>
    <col min="7175" max="7425" width="11.5703125" style="74" hidden="1"/>
    <col min="7426" max="7426" width="20.7109375" style="74" hidden="1"/>
    <col min="7427" max="7427" width="11.5703125" style="74" hidden="1"/>
    <col min="7428" max="7429" width="12.28515625" style="74" hidden="1"/>
    <col min="7430" max="7430" width="21.7109375" style="74" hidden="1"/>
    <col min="7431" max="7681" width="11.5703125" style="74" hidden="1"/>
    <col min="7682" max="7682" width="20.7109375" style="74" hidden="1"/>
    <col min="7683" max="7683" width="11.5703125" style="74" hidden="1"/>
    <col min="7684" max="7685" width="12.28515625" style="74" hidden="1"/>
    <col min="7686" max="7686" width="21.7109375" style="74" hidden="1"/>
    <col min="7687" max="7937" width="11.5703125" style="74" hidden="1"/>
    <col min="7938" max="7938" width="20.7109375" style="74" hidden="1"/>
    <col min="7939" max="7939" width="11.5703125" style="74" hidden="1"/>
    <col min="7940" max="7941" width="12.28515625" style="74" hidden="1"/>
    <col min="7942" max="7942" width="21.7109375" style="74" hidden="1"/>
    <col min="7943" max="8193" width="11.5703125" style="74" hidden="1"/>
    <col min="8194" max="8194" width="20.7109375" style="74" hidden="1"/>
    <col min="8195" max="8195" width="11.5703125" style="74" hidden="1"/>
    <col min="8196" max="8197" width="12.28515625" style="74" hidden="1"/>
    <col min="8198" max="8198" width="21.7109375" style="74" hidden="1"/>
    <col min="8199" max="8449" width="11.5703125" style="74" hidden="1"/>
    <col min="8450" max="8450" width="20.7109375" style="74" hidden="1"/>
    <col min="8451" max="8451" width="11.5703125" style="74" hidden="1"/>
    <col min="8452" max="8453" width="12.28515625" style="74" hidden="1"/>
    <col min="8454" max="8454" width="21.7109375" style="74" hidden="1"/>
    <col min="8455" max="8705" width="11.5703125" style="74" hidden="1"/>
    <col min="8706" max="8706" width="20.7109375" style="74" hidden="1"/>
    <col min="8707" max="8707" width="11.5703125" style="74" hidden="1"/>
    <col min="8708" max="8709" width="12.28515625" style="74" hidden="1"/>
    <col min="8710" max="8710" width="21.7109375" style="74" hidden="1"/>
    <col min="8711" max="8961" width="11.5703125" style="74" hidden="1"/>
    <col min="8962" max="8962" width="20.7109375" style="74" hidden="1"/>
    <col min="8963" max="8963" width="11.5703125" style="74" hidden="1"/>
    <col min="8964" max="8965" width="12.28515625" style="74" hidden="1"/>
    <col min="8966" max="8966" width="21.7109375" style="74" hidden="1"/>
    <col min="8967" max="9217" width="11.5703125" style="74" hidden="1"/>
    <col min="9218" max="9218" width="20.7109375" style="74" hidden="1"/>
    <col min="9219" max="9219" width="11.5703125" style="74" hidden="1"/>
    <col min="9220" max="9221" width="12.28515625" style="74" hidden="1"/>
    <col min="9222" max="9222" width="21.7109375" style="74" hidden="1"/>
    <col min="9223" max="9473" width="11.5703125" style="74" hidden="1"/>
    <col min="9474" max="9474" width="20.7109375" style="74" hidden="1"/>
    <col min="9475" max="9475" width="11.5703125" style="74" hidden="1"/>
    <col min="9476" max="9477" width="12.28515625" style="74" hidden="1"/>
    <col min="9478" max="9478" width="21.7109375" style="74" hidden="1"/>
    <col min="9479" max="9729" width="11.5703125" style="74" hidden="1"/>
    <col min="9730" max="9730" width="20.7109375" style="74" hidden="1"/>
    <col min="9731" max="9731" width="11.5703125" style="74" hidden="1"/>
    <col min="9732" max="9733" width="12.28515625" style="74" hidden="1"/>
    <col min="9734" max="9734" width="21.7109375" style="74" hidden="1"/>
    <col min="9735" max="9985" width="11.5703125" style="74" hidden="1"/>
    <col min="9986" max="9986" width="20.7109375" style="74" hidden="1"/>
    <col min="9987" max="9987" width="11.5703125" style="74" hidden="1"/>
    <col min="9988" max="9989" width="12.28515625" style="74" hidden="1"/>
    <col min="9990" max="9990" width="21.7109375" style="74" hidden="1"/>
    <col min="9991" max="10241" width="11.5703125" style="74" hidden="1"/>
    <col min="10242" max="10242" width="20.7109375" style="74" hidden="1"/>
    <col min="10243" max="10243" width="11.5703125" style="74" hidden="1"/>
    <col min="10244" max="10245" width="12.28515625" style="74" hidden="1"/>
    <col min="10246" max="10246" width="21.7109375" style="74" hidden="1"/>
    <col min="10247" max="10497" width="11.5703125" style="74" hidden="1"/>
    <col min="10498" max="10498" width="20.7109375" style="74" hidden="1"/>
    <col min="10499" max="10499" width="11.5703125" style="74" hidden="1"/>
    <col min="10500" max="10501" width="12.28515625" style="74" hidden="1"/>
    <col min="10502" max="10502" width="21.7109375" style="74" hidden="1"/>
    <col min="10503" max="10753" width="11.5703125" style="74" hidden="1"/>
    <col min="10754" max="10754" width="20.7109375" style="74" hidden="1"/>
    <col min="10755" max="10755" width="11.5703125" style="74" hidden="1"/>
    <col min="10756" max="10757" width="12.28515625" style="74" hidden="1"/>
    <col min="10758" max="10758" width="21.7109375" style="74" hidden="1"/>
    <col min="10759" max="11009" width="11.5703125" style="74" hidden="1"/>
    <col min="11010" max="11010" width="20.7109375" style="74" hidden="1"/>
    <col min="11011" max="11011" width="11.5703125" style="74" hidden="1"/>
    <col min="11012" max="11013" width="12.28515625" style="74" hidden="1"/>
    <col min="11014" max="11014" width="21.7109375" style="74" hidden="1"/>
    <col min="11015" max="11265" width="11.5703125" style="74" hidden="1"/>
    <col min="11266" max="11266" width="20.7109375" style="74" hidden="1"/>
    <col min="11267" max="11267" width="11.5703125" style="74" hidden="1"/>
    <col min="11268" max="11269" width="12.28515625" style="74" hidden="1"/>
    <col min="11270" max="11270" width="21.7109375" style="74" hidden="1"/>
    <col min="11271" max="11521" width="11.5703125" style="74" hidden="1"/>
    <col min="11522" max="11522" width="20.7109375" style="74" hidden="1"/>
    <col min="11523" max="11523" width="11.5703125" style="74" hidden="1"/>
    <col min="11524" max="11525" width="12.28515625" style="74" hidden="1"/>
    <col min="11526" max="11526" width="21.7109375" style="74" hidden="1"/>
    <col min="11527" max="11777" width="11.5703125" style="74" hidden="1"/>
    <col min="11778" max="11778" width="20.7109375" style="74" hidden="1"/>
    <col min="11779" max="11779" width="11.5703125" style="74" hidden="1"/>
    <col min="11780" max="11781" width="12.28515625" style="74" hidden="1"/>
    <col min="11782" max="11782" width="21.7109375" style="74" hidden="1"/>
    <col min="11783" max="12033" width="11.5703125" style="74" hidden="1"/>
    <col min="12034" max="12034" width="20.7109375" style="74" hidden="1"/>
    <col min="12035" max="12035" width="11.5703125" style="74" hidden="1"/>
    <col min="12036" max="12037" width="12.28515625" style="74" hidden="1"/>
    <col min="12038" max="12038" width="21.7109375" style="74" hidden="1"/>
    <col min="12039" max="12289" width="11.5703125" style="74" hidden="1"/>
    <col min="12290" max="12290" width="20.7109375" style="74" hidden="1"/>
    <col min="12291" max="12291" width="11.5703125" style="74" hidden="1"/>
    <col min="12292" max="12293" width="12.28515625" style="74" hidden="1"/>
    <col min="12294" max="12294" width="21.7109375" style="74" hidden="1"/>
    <col min="12295" max="12545" width="11.5703125" style="74" hidden="1"/>
    <col min="12546" max="12546" width="20.7109375" style="74" hidden="1"/>
    <col min="12547" max="12547" width="11.5703125" style="74" hidden="1"/>
    <col min="12548" max="12549" width="12.28515625" style="74" hidden="1"/>
    <col min="12550" max="12550" width="21.7109375" style="74" hidden="1"/>
    <col min="12551" max="12801" width="11.5703125" style="74" hidden="1"/>
    <col min="12802" max="12802" width="20.7109375" style="74" hidden="1"/>
    <col min="12803" max="12803" width="11.5703125" style="74" hidden="1"/>
    <col min="12804" max="12805" width="12.28515625" style="74" hidden="1"/>
    <col min="12806" max="12806" width="21.7109375" style="74" hidden="1"/>
    <col min="12807" max="13057" width="11.5703125" style="74" hidden="1"/>
    <col min="13058" max="13058" width="20.7109375" style="74" hidden="1"/>
    <col min="13059" max="13059" width="11.5703125" style="74" hidden="1"/>
    <col min="13060" max="13061" width="12.28515625" style="74" hidden="1"/>
    <col min="13062" max="13062" width="21.7109375" style="74" hidden="1"/>
    <col min="13063" max="13313" width="11.5703125" style="74" hidden="1"/>
    <col min="13314" max="13314" width="20.7109375" style="74" hidden="1"/>
    <col min="13315" max="13315" width="11.5703125" style="74" hidden="1"/>
    <col min="13316" max="13317" width="12.28515625" style="74" hidden="1"/>
    <col min="13318" max="13318" width="21.7109375" style="74" hidden="1"/>
    <col min="13319" max="13569" width="11.5703125" style="74" hidden="1"/>
    <col min="13570" max="13570" width="20.7109375" style="74" hidden="1"/>
    <col min="13571" max="13571" width="11.5703125" style="74" hidden="1"/>
    <col min="13572" max="13573" width="12.28515625" style="74" hidden="1"/>
    <col min="13574" max="13574" width="21.7109375" style="74" hidden="1"/>
    <col min="13575" max="13825" width="11.5703125" style="74" hidden="1"/>
    <col min="13826" max="13826" width="20.7109375" style="74" hidden="1"/>
    <col min="13827" max="13827" width="11.5703125" style="74" hidden="1"/>
    <col min="13828" max="13829" width="12.28515625" style="74" hidden="1"/>
    <col min="13830" max="13830" width="21.7109375" style="74" hidden="1"/>
    <col min="13831" max="14081" width="11.5703125" style="74" hidden="1"/>
    <col min="14082" max="14082" width="20.7109375" style="74" hidden="1"/>
    <col min="14083" max="14083" width="11.5703125" style="74" hidden="1"/>
    <col min="14084" max="14085" width="12.28515625" style="74" hidden="1"/>
    <col min="14086" max="14086" width="21.7109375" style="74" hidden="1"/>
    <col min="14087" max="14337" width="11.5703125" style="74" hidden="1"/>
    <col min="14338" max="14338" width="20.7109375" style="74" hidden="1"/>
    <col min="14339" max="14339" width="11.5703125" style="74" hidden="1"/>
    <col min="14340" max="14341" width="12.28515625" style="74" hidden="1"/>
    <col min="14342" max="14342" width="21.7109375" style="74" hidden="1"/>
    <col min="14343" max="14593" width="11.5703125" style="74" hidden="1"/>
    <col min="14594" max="14594" width="20.7109375" style="74" hidden="1"/>
    <col min="14595" max="14595" width="11.5703125" style="74" hidden="1"/>
    <col min="14596" max="14597" width="12.28515625" style="74" hidden="1"/>
    <col min="14598" max="14598" width="21.7109375" style="74" hidden="1"/>
    <col min="14599" max="14849" width="11.5703125" style="74" hidden="1"/>
    <col min="14850" max="14850" width="20.7109375" style="74" hidden="1"/>
    <col min="14851" max="14851" width="11.5703125" style="74" hidden="1"/>
    <col min="14852" max="14853" width="12.28515625" style="74" hidden="1"/>
    <col min="14854" max="14854" width="21.7109375" style="74" hidden="1"/>
    <col min="14855" max="15105" width="11.5703125" style="74" hidden="1"/>
    <col min="15106" max="15106" width="20.7109375" style="74" hidden="1"/>
    <col min="15107" max="15107" width="11.5703125" style="74" hidden="1"/>
    <col min="15108" max="15109" width="12.28515625" style="74" hidden="1"/>
    <col min="15110" max="15110" width="21.7109375" style="74" hidden="1"/>
    <col min="15111" max="15361" width="11.5703125" style="74" hidden="1"/>
    <col min="15362" max="15362" width="20.7109375" style="74" hidden="1"/>
    <col min="15363" max="15363" width="11.5703125" style="74" hidden="1"/>
    <col min="15364" max="15365" width="12.28515625" style="74" hidden="1"/>
    <col min="15366" max="15366" width="21.7109375" style="74" hidden="1"/>
    <col min="15367" max="15617" width="11.5703125" style="74" hidden="1"/>
    <col min="15618" max="15618" width="20.7109375" style="74" hidden="1"/>
    <col min="15619" max="15619" width="11.5703125" style="74" hidden="1"/>
    <col min="15620" max="15621" width="12.28515625" style="74" hidden="1"/>
    <col min="15622" max="15622" width="21.7109375" style="74" hidden="1"/>
    <col min="15623" max="15873" width="11.5703125" style="74" hidden="1"/>
    <col min="15874" max="15874" width="20.7109375" style="74" hidden="1"/>
    <col min="15875" max="15875" width="11.5703125" style="74" hidden="1"/>
    <col min="15876" max="15877" width="12.28515625" style="74" hidden="1"/>
    <col min="15878" max="15878" width="21.7109375" style="74" hidden="1"/>
    <col min="15879" max="16129" width="11.5703125" style="74" hidden="1"/>
    <col min="16130" max="16130" width="20.7109375" style="74" hidden="1"/>
    <col min="16131" max="16131" width="11.5703125" style="74" hidden="1"/>
    <col min="16132" max="16133" width="12.28515625" style="74" hidden="1"/>
    <col min="16134" max="16134" width="21.7109375" style="74" hidden="1"/>
    <col min="16135" max="16384" width="11.5703125" style="74" hidden="1"/>
  </cols>
  <sheetData>
    <row r="1" spans="2:13" x14ac:dyDescent="0.2"/>
    <row r="2" spans="2:13" ht="21" customHeight="1" x14ac:dyDescent="0.2">
      <c r="L2" s="188" t="s">
        <v>189</v>
      </c>
    </row>
    <row r="3" spans="2:13" ht="21" customHeight="1" thickBot="1" x14ac:dyDescent="0.25">
      <c r="B3" s="233"/>
      <c r="C3" s="233"/>
      <c r="D3" s="233"/>
      <c r="E3" s="233"/>
      <c r="F3" s="233"/>
      <c r="G3" s="233"/>
      <c r="H3" s="233"/>
      <c r="I3" s="233"/>
      <c r="J3" s="233"/>
      <c r="L3" s="189" t="s">
        <v>190</v>
      </c>
    </row>
    <row r="4" spans="2:13" ht="14.25" customHeight="1" x14ac:dyDescent="0.2"/>
    <row r="5" spans="2:13" ht="15" x14ac:dyDescent="0.25">
      <c r="B5" s="238" t="s">
        <v>193</v>
      </c>
      <c r="C5" s="238"/>
      <c r="D5" s="238"/>
      <c r="E5" s="238"/>
      <c r="F5" s="238"/>
      <c r="G5" s="238"/>
      <c r="H5" s="238"/>
      <c r="I5" s="238"/>
      <c r="J5" s="238"/>
    </row>
    <row r="6" spans="2:13" x14ac:dyDescent="0.2">
      <c r="B6" s="239" t="str">
        <f>Aux!$V$5</f>
        <v>Abril 2025</v>
      </c>
      <c r="C6" s="239"/>
      <c r="D6" s="239"/>
      <c r="E6" s="239"/>
      <c r="F6" s="239"/>
      <c r="G6" s="239"/>
      <c r="H6" s="239"/>
      <c r="I6" s="239"/>
      <c r="J6" s="239"/>
    </row>
    <row r="7" spans="2:13" ht="23.25" customHeight="1" x14ac:dyDescent="0.2">
      <c r="M7" s="74" t="s">
        <v>213</v>
      </c>
    </row>
    <row r="8" spans="2:13" x14ac:dyDescent="0.2">
      <c r="L8" s="175"/>
    </row>
    <row r="9" spans="2:13" ht="15" thickBot="1" x14ac:dyDescent="0.25">
      <c r="F9" s="75"/>
      <c r="G9" s="232" t="str">
        <f>Aux!W6</f>
        <v>ene-abr 2024</v>
      </c>
      <c r="H9" s="232" t="str">
        <f>Aux!W5</f>
        <v>ene-abr 2025</v>
      </c>
      <c r="I9" s="76" t="s">
        <v>138</v>
      </c>
    </row>
    <row r="10" spans="2:13" ht="15" thickBot="1" x14ac:dyDescent="0.25">
      <c r="F10" s="77" t="s">
        <v>98</v>
      </c>
      <c r="G10" s="78">
        <f>'CA Informe'!U13</f>
        <v>15733.878077495003</v>
      </c>
      <c r="H10" s="78">
        <f>'CA Informe'!T13</f>
        <v>17204.768565810002</v>
      </c>
      <c r="I10" s="79">
        <f>+H10/G10-1</f>
        <v>9.3485565419430205E-2</v>
      </c>
    </row>
    <row r="11" spans="2:13" x14ac:dyDescent="0.2">
      <c r="F11" s="80" t="str">
        <f>+'1'!A13</f>
        <v xml:space="preserve">Ingresos Tributarios </v>
      </c>
      <c r="G11" s="81">
        <f>'CA Informe'!U14</f>
        <v>12015.707473808001</v>
      </c>
      <c r="H11" s="81">
        <f>'CA Informe'!T14</f>
        <v>13278.945735234001</v>
      </c>
      <c r="I11" s="82">
        <f>+H11/G11-1</f>
        <v>0.1051322416245255</v>
      </c>
    </row>
    <row r="12" spans="2:13" x14ac:dyDescent="0.2">
      <c r="F12" s="80" t="str">
        <f>+'1'!A15</f>
        <v>Contribuciones sociales</v>
      </c>
      <c r="G12" s="81">
        <f>'CA Informe'!U17</f>
        <v>1097.2662328710001</v>
      </c>
      <c r="H12" s="81">
        <f>'CA Informe'!T17</f>
        <v>1119.6314853509998</v>
      </c>
      <c r="I12" s="82">
        <f>+H12/G12-1</f>
        <v>2.0382703677557901E-2</v>
      </c>
    </row>
    <row r="13" spans="2:13" x14ac:dyDescent="0.2">
      <c r="F13" s="83" t="str">
        <f>+'1'!A17</f>
        <v>Donaciones</v>
      </c>
      <c r="G13" s="84">
        <f>'CA Informe'!U18</f>
        <v>579.38410528500003</v>
      </c>
      <c r="H13" s="84">
        <f>'CA Informe'!T18</f>
        <v>519.73468122399993</v>
      </c>
      <c r="I13" s="85">
        <f>+H13/G13-1</f>
        <v>-0.10295315925461646</v>
      </c>
    </row>
    <row r="14" spans="2:13" x14ac:dyDescent="0.2">
      <c r="F14" s="86" t="str">
        <f>+'1'!A27</f>
        <v>Otros ingresos</v>
      </c>
      <c r="G14" s="87">
        <f>'CA Informe'!U19</f>
        <v>2041.5202655309999</v>
      </c>
      <c r="H14" s="216">
        <f>'CA Informe'!T19</f>
        <v>2286.4566640009998</v>
      </c>
      <c r="I14" s="88">
        <f>+H14/G14-1</f>
        <v>0.11997745141476313</v>
      </c>
    </row>
    <row r="15" spans="2:13" x14ac:dyDescent="0.2">
      <c r="F15" s="89" t="s">
        <v>139</v>
      </c>
    </row>
    <row r="16" spans="2:13" x14ac:dyDescent="0.2"/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ht="15" thickBot="1" x14ac:dyDescent="0.25">
      <c r="C30" s="232" t="str">
        <f>Aux!W6</f>
        <v>ene-abr 2024</v>
      </c>
      <c r="D30" s="232" t="str">
        <f>Aux!W5</f>
        <v>ene-abr 2025</v>
      </c>
      <c r="E30" s="90" t="s">
        <v>138</v>
      </c>
    </row>
    <row r="31" spans="2:14" ht="15" thickBot="1" x14ac:dyDescent="0.25">
      <c r="B31" s="91" t="s">
        <v>140</v>
      </c>
      <c r="C31" s="91">
        <f>'CA Informe'!U20</f>
        <v>15899.302351802002</v>
      </c>
      <c r="D31" s="91">
        <f>'CA Informe'!T20</f>
        <v>17097.166926234</v>
      </c>
      <c r="E31" s="92">
        <f>+D31/C31-1</f>
        <v>7.5340700360744695E-2</v>
      </c>
      <c r="N31" s="169"/>
    </row>
    <row r="32" spans="2:14" x14ac:dyDescent="0.2">
      <c r="B32" s="94" t="str">
        <f>+'1'!A37</f>
        <v>Remuneración a los empleados</v>
      </c>
      <c r="C32" s="95">
        <f>'CA Informe'!U21</f>
        <v>6614.8130605860006</v>
      </c>
      <c r="D32" s="95">
        <f>'CA Informe'!T21</f>
        <v>7127.8432016309998</v>
      </c>
      <c r="E32" s="96">
        <f t="shared" ref="E32:E37" si="0">+D32/C32-1</f>
        <v>7.7557768654394899E-2</v>
      </c>
      <c r="F32" s="93"/>
    </row>
    <row r="33" spans="2:15" x14ac:dyDescent="0.2">
      <c r="B33" s="84" t="str">
        <f>+'1'!A38</f>
        <v>Uso de bienes y servicios</v>
      </c>
      <c r="C33" s="229">
        <f>'CA Informe'!U22</f>
        <v>2276.570273327</v>
      </c>
      <c r="D33" s="84">
        <f>'CA Informe'!T22</f>
        <v>1998.3193255489998</v>
      </c>
      <c r="E33" s="85">
        <f t="shared" si="0"/>
        <v>-0.12222374641278333</v>
      </c>
      <c r="F33" s="85"/>
    </row>
    <row r="34" spans="2:15" x14ac:dyDescent="0.2">
      <c r="B34" s="84" t="str">
        <f>+'1'!A43</f>
        <v>Intereses</v>
      </c>
      <c r="C34" s="84">
        <f>'CA Informe'!U23</f>
        <v>1983.9199207250001</v>
      </c>
      <c r="D34" s="84">
        <f>'CA Informe'!T23</f>
        <v>2317.1339911170003</v>
      </c>
      <c r="E34" s="85">
        <f t="shared" si="0"/>
        <v>0.16795741950624254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1626.4445473119999</v>
      </c>
      <c r="D35" s="84">
        <f>'CA Informe'!T24</f>
        <v>1844.0390065999998</v>
      </c>
      <c r="E35" s="85">
        <f t="shared" si="0"/>
        <v>0.13378535385520207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2943.4990035119999</v>
      </c>
      <c r="D36" s="84">
        <f>'CA Informe'!T25</f>
        <v>3355.5823372979994</v>
      </c>
      <c r="E36" s="85">
        <f t="shared" si="0"/>
        <v>0.13999778267100726</v>
      </c>
      <c r="F36" s="85"/>
      <c r="L36" s="169"/>
      <c r="M36" s="169"/>
      <c r="N36" s="169"/>
    </row>
    <row r="37" spans="2:15" x14ac:dyDescent="0.2">
      <c r="B37" s="97" t="str">
        <f>+'1'!A61</f>
        <v>Otros gastos</v>
      </c>
      <c r="C37" s="97">
        <f>'CA Informe'!U26</f>
        <v>454.05554633999998</v>
      </c>
      <c r="D37" s="97">
        <f>'CA Informe'!T26</f>
        <v>454.24906403900002</v>
      </c>
      <c r="E37" s="98">
        <f t="shared" si="0"/>
        <v>4.2619829349055394E-4</v>
      </c>
      <c r="F37" s="85"/>
      <c r="M37" s="169"/>
      <c r="N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  <c r="O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/>
    <row r="47" spans="2:15" x14ac:dyDescent="0.2">
      <c r="M47" s="169"/>
    </row>
    <row r="48" spans="2:15" x14ac:dyDescent="0.2">
      <c r="M48" s="169"/>
      <c r="N48" s="169"/>
    </row>
    <row r="49" spans="8:10" x14ac:dyDescent="0.2"/>
    <row r="50" spans="8:10" x14ac:dyDescent="0.2"/>
    <row r="51" spans="8:10" x14ac:dyDescent="0.2"/>
    <row r="52" spans="8:10" x14ac:dyDescent="0.2"/>
    <row r="53" spans="8:10" ht="15" x14ac:dyDescent="0.25">
      <c r="J53" s="178"/>
    </row>
    <row r="54" spans="8:10" ht="15" hidden="1" x14ac:dyDescent="0.25">
      <c r="J54" s="178"/>
    </row>
    <row r="55" spans="8:10" ht="15" hidden="1" x14ac:dyDescent="0.25">
      <c r="J55" s="178"/>
    </row>
    <row r="56" spans="8:10" ht="15" hidden="1" x14ac:dyDescent="0.25">
      <c r="J56" s="178"/>
    </row>
    <row r="57" spans="8:10" ht="15" hidden="1" x14ac:dyDescent="0.25">
      <c r="J57" s="178"/>
    </row>
    <row r="58" spans="8:10" ht="15" hidden="1" x14ac:dyDescent="0.25">
      <c r="H58" s="177"/>
      <c r="I58" s="177"/>
      <c r="J58" s="178"/>
    </row>
    <row r="59" spans="8:10" ht="15" hidden="1" x14ac:dyDescent="0.25">
      <c r="H59" s="177"/>
      <c r="I59" s="177"/>
      <c r="J59" s="178"/>
    </row>
    <row r="60" spans="8:10" ht="15" hidden="1" x14ac:dyDescent="0.25">
      <c r="H60" s="177"/>
      <c r="I60" s="177"/>
      <c r="J60" s="178"/>
    </row>
    <row r="61" spans="8:10" ht="15" hidden="1" x14ac:dyDescent="0.25">
      <c r="H61" s="177"/>
      <c r="I61" s="177"/>
      <c r="J61" s="178"/>
    </row>
    <row r="62" spans="8:10" ht="15" hidden="1" x14ac:dyDescent="0.25">
      <c r="H62" s="177"/>
      <c r="I62" s="177"/>
      <c r="J62" s="178"/>
    </row>
    <row r="63" spans="8:10" ht="15" hidden="1" x14ac:dyDescent="0.25">
      <c r="H63" s="177"/>
      <c r="I63" s="177"/>
      <c r="J63" s="178"/>
    </row>
    <row r="64" spans="8:10" ht="15" hidden="1" x14ac:dyDescent="0.25">
      <c r="H64" s="177"/>
      <c r="I64" s="177"/>
      <c r="J64" s="178"/>
    </row>
    <row r="65" spans="8:10" ht="15" hidden="1" x14ac:dyDescent="0.25">
      <c r="H65" s="177"/>
      <c r="I65" s="177"/>
      <c r="J65" s="178"/>
    </row>
    <row r="66" spans="8:10" ht="15" hidden="1" x14ac:dyDescent="0.25">
      <c r="H66" s="177"/>
      <c r="I66" s="177"/>
      <c r="J66" s="178"/>
    </row>
    <row r="67" spans="8:10" hidden="1" x14ac:dyDescent="0.2">
      <c r="H67" s="176"/>
      <c r="I67" s="176"/>
    </row>
    <row r="68" spans="8:10" hidden="1" x14ac:dyDescent="0.2">
      <c r="H68" s="176"/>
      <c r="I68" s="176"/>
    </row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8"/>
  <sheetViews>
    <sheetView showGridLines="0" showRowColHeaders="0" zoomScale="85" zoomScaleNormal="85" workbookViewId="0">
      <pane ySplit="10" topLeftCell="A11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4" customWidth="1"/>
    <col min="2" max="2" width="12.28515625" style="104" bestFit="1" customWidth="1"/>
    <col min="3" max="3" width="11.42578125" style="137" customWidth="1"/>
    <col min="4" max="4" width="9.7109375" style="104" bestFit="1" customWidth="1"/>
    <col min="5" max="5" width="12.28515625" style="104" bestFit="1" customWidth="1"/>
    <col min="6" max="6" width="10.85546875" style="111" customWidth="1"/>
    <col min="7" max="7" width="9.42578125" style="104" customWidth="1"/>
    <col min="8" max="8" width="9.85546875" style="104" customWidth="1"/>
    <col min="9" max="9" width="3.5703125" style="104" customWidth="1"/>
    <col min="10" max="10" width="17.7109375" style="104" bestFit="1" customWidth="1"/>
    <col min="11" max="256" width="12.28515625" style="104" hidden="1"/>
    <col min="257" max="257" width="53.7109375" style="104" hidden="1"/>
    <col min="258" max="258" width="12.28515625" style="104" hidden="1"/>
    <col min="259" max="259" width="10.5703125" style="104" hidden="1"/>
    <col min="260" max="260" width="9.7109375" style="104" hidden="1"/>
    <col min="261" max="261" width="12.28515625" style="104" hidden="1"/>
    <col min="262" max="262" width="9.28515625" style="104" hidden="1"/>
    <col min="263" max="263" width="8.28515625" style="104" hidden="1"/>
    <col min="264" max="264" width="9.140625" style="104" hidden="1"/>
    <col min="265" max="265" width="14" style="104" hidden="1"/>
    <col min="266" max="266" width="17.7109375" style="104" hidden="1"/>
    <col min="267" max="512" width="12.28515625" style="104" hidden="1"/>
    <col min="513" max="513" width="53.7109375" style="104" hidden="1"/>
    <col min="514" max="514" width="12.28515625" style="104" hidden="1"/>
    <col min="515" max="515" width="10.5703125" style="104" hidden="1"/>
    <col min="516" max="516" width="9.7109375" style="104" hidden="1"/>
    <col min="517" max="517" width="12.28515625" style="104" hidden="1"/>
    <col min="518" max="518" width="9.28515625" style="104" hidden="1"/>
    <col min="519" max="519" width="8.28515625" style="104" hidden="1"/>
    <col min="520" max="520" width="9.140625" style="104" hidden="1"/>
    <col min="521" max="521" width="14" style="104" hidden="1"/>
    <col min="522" max="522" width="17.7109375" style="104" hidden="1"/>
    <col min="523" max="768" width="12.28515625" style="104" hidden="1"/>
    <col min="769" max="769" width="53.7109375" style="104" hidden="1"/>
    <col min="770" max="770" width="12.28515625" style="104" hidden="1"/>
    <col min="771" max="771" width="10.5703125" style="104" hidden="1"/>
    <col min="772" max="772" width="9.7109375" style="104" hidden="1"/>
    <col min="773" max="773" width="12.28515625" style="104" hidden="1"/>
    <col min="774" max="774" width="9.28515625" style="104" hidden="1"/>
    <col min="775" max="775" width="8.28515625" style="104" hidden="1"/>
    <col min="776" max="776" width="9.140625" style="104" hidden="1"/>
    <col min="777" max="777" width="14" style="104" hidden="1"/>
    <col min="778" max="778" width="17.7109375" style="104" hidden="1"/>
    <col min="779" max="1024" width="12.28515625" style="104" hidden="1"/>
    <col min="1025" max="1025" width="53.7109375" style="104" hidden="1"/>
    <col min="1026" max="1026" width="12.28515625" style="104" hidden="1"/>
    <col min="1027" max="1027" width="10.5703125" style="104" hidden="1"/>
    <col min="1028" max="1028" width="9.7109375" style="104" hidden="1"/>
    <col min="1029" max="1029" width="12.28515625" style="104" hidden="1"/>
    <col min="1030" max="1030" width="9.28515625" style="104" hidden="1"/>
    <col min="1031" max="1031" width="8.28515625" style="104" hidden="1"/>
    <col min="1032" max="1032" width="9.140625" style="104" hidden="1"/>
    <col min="1033" max="1033" width="14" style="104" hidden="1"/>
    <col min="1034" max="1034" width="17.7109375" style="104" hidden="1"/>
    <col min="1035" max="1280" width="12.28515625" style="104" hidden="1"/>
    <col min="1281" max="1281" width="53.7109375" style="104" hidden="1"/>
    <col min="1282" max="1282" width="12.28515625" style="104" hidden="1"/>
    <col min="1283" max="1283" width="10.5703125" style="104" hidden="1"/>
    <col min="1284" max="1284" width="9.7109375" style="104" hidden="1"/>
    <col min="1285" max="1285" width="12.28515625" style="104" hidden="1"/>
    <col min="1286" max="1286" width="9.28515625" style="104" hidden="1"/>
    <col min="1287" max="1287" width="8.28515625" style="104" hidden="1"/>
    <col min="1288" max="1288" width="9.140625" style="104" hidden="1"/>
    <col min="1289" max="1289" width="14" style="104" hidden="1"/>
    <col min="1290" max="1290" width="17.7109375" style="104" hidden="1"/>
    <col min="1291" max="1536" width="12.28515625" style="104" hidden="1"/>
    <col min="1537" max="1537" width="53.7109375" style="104" hidden="1"/>
    <col min="1538" max="1538" width="12.28515625" style="104" hidden="1"/>
    <col min="1539" max="1539" width="10.5703125" style="104" hidden="1"/>
    <col min="1540" max="1540" width="9.7109375" style="104" hidden="1"/>
    <col min="1541" max="1541" width="12.28515625" style="104" hidden="1"/>
    <col min="1542" max="1542" width="9.28515625" style="104" hidden="1"/>
    <col min="1543" max="1543" width="8.28515625" style="104" hidden="1"/>
    <col min="1544" max="1544" width="9.140625" style="104" hidden="1"/>
    <col min="1545" max="1545" width="14" style="104" hidden="1"/>
    <col min="1546" max="1546" width="17.7109375" style="104" hidden="1"/>
    <col min="1547" max="1792" width="12.28515625" style="104" hidden="1"/>
    <col min="1793" max="1793" width="53.7109375" style="104" hidden="1"/>
    <col min="1794" max="1794" width="12.28515625" style="104" hidden="1"/>
    <col min="1795" max="1795" width="10.5703125" style="104" hidden="1"/>
    <col min="1796" max="1796" width="9.7109375" style="104" hidden="1"/>
    <col min="1797" max="1797" width="12.28515625" style="104" hidden="1"/>
    <col min="1798" max="1798" width="9.28515625" style="104" hidden="1"/>
    <col min="1799" max="1799" width="8.28515625" style="104" hidden="1"/>
    <col min="1800" max="1800" width="9.140625" style="104" hidden="1"/>
    <col min="1801" max="1801" width="14" style="104" hidden="1"/>
    <col min="1802" max="1802" width="17.7109375" style="104" hidden="1"/>
    <col min="1803" max="2048" width="12.28515625" style="104" hidden="1"/>
    <col min="2049" max="2049" width="53.7109375" style="104" hidden="1"/>
    <col min="2050" max="2050" width="12.28515625" style="104" hidden="1"/>
    <col min="2051" max="2051" width="10.5703125" style="104" hidden="1"/>
    <col min="2052" max="2052" width="9.7109375" style="104" hidden="1"/>
    <col min="2053" max="2053" width="12.28515625" style="104" hidden="1"/>
    <col min="2054" max="2054" width="9.28515625" style="104" hidden="1"/>
    <col min="2055" max="2055" width="8.28515625" style="104" hidden="1"/>
    <col min="2056" max="2056" width="9.140625" style="104" hidden="1"/>
    <col min="2057" max="2057" width="14" style="104" hidden="1"/>
    <col min="2058" max="2058" width="17.7109375" style="104" hidden="1"/>
    <col min="2059" max="2304" width="12.28515625" style="104" hidden="1"/>
    <col min="2305" max="2305" width="53.7109375" style="104" hidden="1"/>
    <col min="2306" max="2306" width="12.28515625" style="104" hidden="1"/>
    <col min="2307" max="2307" width="10.5703125" style="104" hidden="1"/>
    <col min="2308" max="2308" width="9.7109375" style="104" hidden="1"/>
    <col min="2309" max="2309" width="12.28515625" style="104" hidden="1"/>
    <col min="2310" max="2310" width="9.28515625" style="104" hidden="1"/>
    <col min="2311" max="2311" width="8.28515625" style="104" hidden="1"/>
    <col min="2312" max="2312" width="9.140625" style="104" hidden="1"/>
    <col min="2313" max="2313" width="14" style="104" hidden="1"/>
    <col min="2314" max="2314" width="17.7109375" style="104" hidden="1"/>
    <col min="2315" max="2560" width="12.28515625" style="104" hidden="1"/>
    <col min="2561" max="2561" width="53.7109375" style="104" hidden="1"/>
    <col min="2562" max="2562" width="12.28515625" style="104" hidden="1"/>
    <col min="2563" max="2563" width="10.5703125" style="104" hidden="1"/>
    <col min="2564" max="2564" width="9.7109375" style="104" hidden="1"/>
    <col min="2565" max="2565" width="12.28515625" style="104" hidden="1"/>
    <col min="2566" max="2566" width="9.28515625" style="104" hidden="1"/>
    <col min="2567" max="2567" width="8.28515625" style="104" hidden="1"/>
    <col min="2568" max="2568" width="9.140625" style="104" hidden="1"/>
    <col min="2569" max="2569" width="14" style="104" hidden="1"/>
    <col min="2570" max="2570" width="17.7109375" style="104" hidden="1"/>
    <col min="2571" max="2816" width="12.28515625" style="104" hidden="1"/>
    <col min="2817" max="2817" width="53.7109375" style="104" hidden="1"/>
    <col min="2818" max="2818" width="12.28515625" style="104" hidden="1"/>
    <col min="2819" max="2819" width="10.5703125" style="104" hidden="1"/>
    <col min="2820" max="2820" width="9.7109375" style="104" hidden="1"/>
    <col min="2821" max="2821" width="12.28515625" style="104" hidden="1"/>
    <col min="2822" max="2822" width="9.28515625" style="104" hidden="1"/>
    <col min="2823" max="2823" width="8.28515625" style="104" hidden="1"/>
    <col min="2824" max="2824" width="9.140625" style="104" hidden="1"/>
    <col min="2825" max="2825" width="14" style="104" hidden="1"/>
    <col min="2826" max="2826" width="17.7109375" style="104" hidden="1"/>
    <col min="2827" max="3072" width="12.28515625" style="104" hidden="1"/>
    <col min="3073" max="3073" width="53.7109375" style="104" hidden="1"/>
    <col min="3074" max="3074" width="12.28515625" style="104" hidden="1"/>
    <col min="3075" max="3075" width="10.5703125" style="104" hidden="1"/>
    <col min="3076" max="3076" width="9.7109375" style="104" hidden="1"/>
    <col min="3077" max="3077" width="12.28515625" style="104" hidden="1"/>
    <col min="3078" max="3078" width="9.28515625" style="104" hidden="1"/>
    <col min="3079" max="3079" width="8.28515625" style="104" hidden="1"/>
    <col min="3080" max="3080" width="9.140625" style="104" hidden="1"/>
    <col min="3081" max="3081" width="14" style="104" hidden="1"/>
    <col min="3082" max="3082" width="17.7109375" style="104" hidden="1"/>
    <col min="3083" max="3328" width="12.28515625" style="104" hidden="1"/>
    <col min="3329" max="3329" width="53.7109375" style="104" hidden="1"/>
    <col min="3330" max="3330" width="12.28515625" style="104" hidden="1"/>
    <col min="3331" max="3331" width="10.5703125" style="104" hidden="1"/>
    <col min="3332" max="3332" width="9.7109375" style="104" hidden="1"/>
    <col min="3333" max="3333" width="12.28515625" style="104" hidden="1"/>
    <col min="3334" max="3334" width="9.28515625" style="104" hidden="1"/>
    <col min="3335" max="3335" width="8.28515625" style="104" hidden="1"/>
    <col min="3336" max="3336" width="9.140625" style="104" hidden="1"/>
    <col min="3337" max="3337" width="14" style="104" hidden="1"/>
    <col min="3338" max="3338" width="17.7109375" style="104" hidden="1"/>
    <col min="3339" max="3584" width="12.28515625" style="104" hidden="1"/>
    <col min="3585" max="3585" width="53.7109375" style="104" hidden="1"/>
    <col min="3586" max="3586" width="12.28515625" style="104" hidden="1"/>
    <col min="3587" max="3587" width="10.5703125" style="104" hidden="1"/>
    <col min="3588" max="3588" width="9.7109375" style="104" hidden="1"/>
    <col min="3589" max="3589" width="12.28515625" style="104" hidden="1"/>
    <col min="3590" max="3590" width="9.28515625" style="104" hidden="1"/>
    <col min="3591" max="3591" width="8.28515625" style="104" hidden="1"/>
    <col min="3592" max="3592" width="9.140625" style="104" hidden="1"/>
    <col min="3593" max="3593" width="14" style="104" hidden="1"/>
    <col min="3594" max="3594" width="17.7109375" style="104" hidden="1"/>
    <col min="3595" max="3840" width="12.28515625" style="104" hidden="1"/>
    <col min="3841" max="3841" width="53.7109375" style="104" hidden="1"/>
    <col min="3842" max="3842" width="12.28515625" style="104" hidden="1"/>
    <col min="3843" max="3843" width="10.5703125" style="104" hidden="1"/>
    <col min="3844" max="3844" width="9.7109375" style="104" hidden="1"/>
    <col min="3845" max="3845" width="12.28515625" style="104" hidden="1"/>
    <col min="3846" max="3846" width="9.28515625" style="104" hidden="1"/>
    <col min="3847" max="3847" width="8.28515625" style="104" hidden="1"/>
    <col min="3848" max="3848" width="9.140625" style="104" hidden="1"/>
    <col min="3849" max="3849" width="14" style="104" hidden="1"/>
    <col min="3850" max="3850" width="17.7109375" style="104" hidden="1"/>
    <col min="3851" max="4096" width="12.28515625" style="104" hidden="1"/>
    <col min="4097" max="4097" width="53.7109375" style="104" hidden="1"/>
    <col min="4098" max="4098" width="12.28515625" style="104" hidden="1"/>
    <col min="4099" max="4099" width="10.5703125" style="104" hidden="1"/>
    <col min="4100" max="4100" width="9.7109375" style="104" hidden="1"/>
    <col min="4101" max="4101" width="12.28515625" style="104" hidden="1"/>
    <col min="4102" max="4102" width="9.28515625" style="104" hidden="1"/>
    <col min="4103" max="4103" width="8.28515625" style="104" hidden="1"/>
    <col min="4104" max="4104" width="9.140625" style="104" hidden="1"/>
    <col min="4105" max="4105" width="14" style="104" hidden="1"/>
    <col min="4106" max="4106" width="17.7109375" style="104" hidden="1"/>
    <col min="4107" max="4352" width="12.28515625" style="104" hidden="1"/>
    <col min="4353" max="4353" width="53.7109375" style="104" hidden="1"/>
    <col min="4354" max="4354" width="12.28515625" style="104" hidden="1"/>
    <col min="4355" max="4355" width="10.5703125" style="104" hidden="1"/>
    <col min="4356" max="4356" width="9.7109375" style="104" hidden="1"/>
    <col min="4357" max="4357" width="12.28515625" style="104" hidden="1"/>
    <col min="4358" max="4358" width="9.28515625" style="104" hidden="1"/>
    <col min="4359" max="4359" width="8.28515625" style="104" hidden="1"/>
    <col min="4360" max="4360" width="9.140625" style="104" hidden="1"/>
    <col min="4361" max="4361" width="14" style="104" hidden="1"/>
    <col min="4362" max="4362" width="17.7109375" style="104" hidden="1"/>
    <col min="4363" max="4608" width="12.28515625" style="104" hidden="1"/>
    <col min="4609" max="4609" width="53.7109375" style="104" hidden="1"/>
    <col min="4610" max="4610" width="12.28515625" style="104" hidden="1"/>
    <col min="4611" max="4611" width="10.5703125" style="104" hidden="1"/>
    <col min="4612" max="4612" width="9.7109375" style="104" hidden="1"/>
    <col min="4613" max="4613" width="12.28515625" style="104" hidden="1"/>
    <col min="4614" max="4614" width="9.28515625" style="104" hidden="1"/>
    <col min="4615" max="4615" width="8.28515625" style="104" hidden="1"/>
    <col min="4616" max="4616" width="9.140625" style="104" hidden="1"/>
    <col min="4617" max="4617" width="14" style="104" hidden="1"/>
    <col min="4618" max="4618" width="17.7109375" style="104" hidden="1"/>
    <col min="4619" max="4864" width="12.28515625" style="104" hidden="1"/>
    <col min="4865" max="4865" width="53.7109375" style="104" hidden="1"/>
    <col min="4866" max="4866" width="12.28515625" style="104" hidden="1"/>
    <col min="4867" max="4867" width="10.5703125" style="104" hidden="1"/>
    <col min="4868" max="4868" width="9.7109375" style="104" hidden="1"/>
    <col min="4869" max="4869" width="12.28515625" style="104" hidden="1"/>
    <col min="4870" max="4870" width="9.28515625" style="104" hidden="1"/>
    <col min="4871" max="4871" width="8.28515625" style="104" hidden="1"/>
    <col min="4872" max="4872" width="9.140625" style="104" hidden="1"/>
    <col min="4873" max="4873" width="14" style="104" hidden="1"/>
    <col min="4874" max="4874" width="17.7109375" style="104" hidden="1"/>
    <col min="4875" max="5120" width="12.28515625" style="104" hidden="1"/>
    <col min="5121" max="5121" width="53.7109375" style="104" hidden="1"/>
    <col min="5122" max="5122" width="12.28515625" style="104" hidden="1"/>
    <col min="5123" max="5123" width="10.5703125" style="104" hidden="1"/>
    <col min="5124" max="5124" width="9.7109375" style="104" hidden="1"/>
    <col min="5125" max="5125" width="12.28515625" style="104" hidden="1"/>
    <col min="5126" max="5126" width="9.28515625" style="104" hidden="1"/>
    <col min="5127" max="5127" width="8.28515625" style="104" hidden="1"/>
    <col min="5128" max="5128" width="9.140625" style="104" hidden="1"/>
    <col min="5129" max="5129" width="14" style="104" hidden="1"/>
    <col min="5130" max="5130" width="17.7109375" style="104" hidden="1"/>
    <col min="5131" max="5376" width="12.28515625" style="104" hidden="1"/>
    <col min="5377" max="5377" width="53.7109375" style="104" hidden="1"/>
    <col min="5378" max="5378" width="12.28515625" style="104" hidden="1"/>
    <col min="5379" max="5379" width="10.5703125" style="104" hidden="1"/>
    <col min="5380" max="5380" width="9.7109375" style="104" hidden="1"/>
    <col min="5381" max="5381" width="12.28515625" style="104" hidden="1"/>
    <col min="5382" max="5382" width="9.28515625" style="104" hidden="1"/>
    <col min="5383" max="5383" width="8.28515625" style="104" hidden="1"/>
    <col min="5384" max="5384" width="9.140625" style="104" hidden="1"/>
    <col min="5385" max="5385" width="14" style="104" hidden="1"/>
    <col min="5386" max="5386" width="17.7109375" style="104" hidden="1"/>
    <col min="5387" max="5632" width="12.28515625" style="104" hidden="1"/>
    <col min="5633" max="5633" width="53.7109375" style="104" hidden="1"/>
    <col min="5634" max="5634" width="12.28515625" style="104" hidden="1"/>
    <col min="5635" max="5635" width="10.5703125" style="104" hidden="1"/>
    <col min="5636" max="5636" width="9.7109375" style="104" hidden="1"/>
    <col min="5637" max="5637" width="12.28515625" style="104" hidden="1"/>
    <col min="5638" max="5638" width="9.28515625" style="104" hidden="1"/>
    <col min="5639" max="5639" width="8.28515625" style="104" hidden="1"/>
    <col min="5640" max="5640" width="9.140625" style="104" hidden="1"/>
    <col min="5641" max="5641" width="14" style="104" hidden="1"/>
    <col min="5642" max="5642" width="17.7109375" style="104" hidden="1"/>
    <col min="5643" max="5888" width="12.28515625" style="104" hidden="1"/>
    <col min="5889" max="5889" width="53.7109375" style="104" hidden="1"/>
    <col min="5890" max="5890" width="12.28515625" style="104" hidden="1"/>
    <col min="5891" max="5891" width="10.5703125" style="104" hidden="1"/>
    <col min="5892" max="5892" width="9.7109375" style="104" hidden="1"/>
    <col min="5893" max="5893" width="12.28515625" style="104" hidden="1"/>
    <col min="5894" max="5894" width="9.28515625" style="104" hidden="1"/>
    <col min="5895" max="5895" width="8.28515625" style="104" hidden="1"/>
    <col min="5896" max="5896" width="9.140625" style="104" hidden="1"/>
    <col min="5897" max="5897" width="14" style="104" hidden="1"/>
    <col min="5898" max="5898" width="17.7109375" style="104" hidden="1"/>
    <col min="5899" max="6144" width="12.28515625" style="104" hidden="1"/>
    <col min="6145" max="6145" width="53.7109375" style="104" hidden="1"/>
    <col min="6146" max="6146" width="12.28515625" style="104" hidden="1"/>
    <col min="6147" max="6147" width="10.5703125" style="104" hidden="1"/>
    <col min="6148" max="6148" width="9.7109375" style="104" hidden="1"/>
    <col min="6149" max="6149" width="12.28515625" style="104" hidden="1"/>
    <col min="6150" max="6150" width="9.28515625" style="104" hidden="1"/>
    <col min="6151" max="6151" width="8.28515625" style="104" hidden="1"/>
    <col min="6152" max="6152" width="9.140625" style="104" hidden="1"/>
    <col min="6153" max="6153" width="14" style="104" hidden="1"/>
    <col min="6154" max="6154" width="17.7109375" style="104" hidden="1"/>
    <col min="6155" max="6400" width="12.28515625" style="104" hidden="1"/>
    <col min="6401" max="6401" width="53.7109375" style="104" hidden="1"/>
    <col min="6402" max="6402" width="12.28515625" style="104" hidden="1"/>
    <col min="6403" max="6403" width="10.5703125" style="104" hidden="1"/>
    <col min="6404" max="6404" width="9.7109375" style="104" hidden="1"/>
    <col min="6405" max="6405" width="12.28515625" style="104" hidden="1"/>
    <col min="6406" max="6406" width="9.28515625" style="104" hidden="1"/>
    <col min="6407" max="6407" width="8.28515625" style="104" hidden="1"/>
    <col min="6408" max="6408" width="9.140625" style="104" hidden="1"/>
    <col min="6409" max="6409" width="14" style="104" hidden="1"/>
    <col min="6410" max="6410" width="17.7109375" style="104" hidden="1"/>
    <col min="6411" max="6656" width="12.28515625" style="104" hidden="1"/>
    <col min="6657" max="6657" width="53.7109375" style="104" hidden="1"/>
    <col min="6658" max="6658" width="12.28515625" style="104" hidden="1"/>
    <col min="6659" max="6659" width="10.5703125" style="104" hidden="1"/>
    <col min="6660" max="6660" width="9.7109375" style="104" hidden="1"/>
    <col min="6661" max="6661" width="12.28515625" style="104" hidden="1"/>
    <col min="6662" max="6662" width="9.28515625" style="104" hidden="1"/>
    <col min="6663" max="6663" width="8.28515625" style="104" hidden="1"/>
    <col min="6664" max="6664" width="9.140625" style="104" hidden="1"/>
    <col min="6665" max="6665" width="14" style="104" hidden="1"/>
    <col min="6666" max="6666" width="17.7109375" style="104" hidden="1"/>
    <col min="6667" max="6912" width="12.28515625" style="104" hidden="1"/>
    <col min="6913" max="6913" width="53.7109375" style="104" hidden="1"/>
    <col min="6914" max="6914" width="12.28515625" style="104" hidden="1"/>
    <col min="6915" max="6915" width="10.5703125" style="104" hidden="1"/>
    <col min="6916" max="6916" width="9.7109375" style="104" hidden="1"/>
    <col min="6917" max="6917" width="12.28515625" style="104" hidden="1"/>
    <col min="6918" max="6918" width="9.28515625" style="104" hidden="1"/>
    <col min="6919" max="6919" width="8.28515625" style="104" hidden="1"/>
    <col min="6920" max="6920" width="9.140625" style="104" hidden="1"/>
    <col min="6921" max="6921" width="14" style="104" hidden="1"/>
    <col min="6922" max="6922" width="17.7109375" style="104" hidden="1"/>
    <col min="6923" max="7168" width="12.28515625" style="104" hidden="1"/>
    <col min="7169" max="7169" width="53.7109375" style="104" hidden="1"/>
    <col min="7170" max="7170" width="12.28515625" style="104" hidden="1"/>
    <col min="7171" max="7171" width="10.5703125" style="104" hidden="1"/>
    <col min="7172" max="7172" width="9.7109375" style="104" hidden="1"/>
    <col min="7173" max="7173" width="12.28515625" style="104" hidden="1"/>
    <col min="7174" max="7174" width="9.28515625" style="104" hidden="1"/>
    <col min="7175" max="7175" width="8.28515625" style="104" hidden="1"/>
    <col min="7176" max="7176" width="9.140625" style="104" hidden="1"/>
    <col min="7177" max="7177" width="14" style="104" hidden="1"/>
    <col min="7178" max="7178" width="17.7109375" style="104" hidden="1"/>
    <col min="7179" max="7424" width="12.28515625" style="104" hidden="1"/>
    <col min="7425" max="7425" width="53.7109375" style="104" hidden="1"/>
    <col min="7426" max="7426" width="12.28515625" style="104" hidden="1"/>
    <col min="7427" max="7427" width="10.5703125" style="104" hidden="1"/>
    <col min="7428" max="7428" width="9.7109375" style="104" hidden="1"/>
    <col min="7429" max="7429" width="12.28515625" style="104" hidden="1"/>
    <col min="7430" max="7430" width="9.28515625" style="104" hidden="1"/>
    <col min="7431" max="7431" width="8.28515625" style="104" hidden="1"/>
    <col min="7432" max="7432" width="9.140625" style="104" hidden="1"/>
    <col min="7433" max="7433" width="14" style="104" hidden="1"/>
    <col min="7434" max="7434" width="17.7109375" style="104" hidden="1"/>
    <col min="7435" max="7680" width="12.28515625" style="104" hidden="1"/>
    <col min="7681" max="7681" width="53.7109375" style="104" hidden="1"/>
    <col min="7682" max="7682" width="12.28515625" style="104" hidden="1"/>
    <col min="7683" max="7683" width="10.5703125" style="104" hidden="1"/>
    <col min="7684" max="7684" width="9.7109375" style="104" hidden="1"/>
    <col min="7685" max="7685" width="12.28515625" style="104" hidden="1"/>
    <col min="7686" max="7686" width="9.28515625" style="104" hidden="1"/>
    <col min="7687" max="7687" width="8.28515625" style="104" hidden="1"/>
    <col min="7688" max="7688" width="9.140625" style="104" hidden="1"/>
    <col min="7689" max="7689" width="14" style="104" hidden="1"/>
    <col min="7690" max="7690" width="17.7109375" style="104" hidden="1"/>
    <col min="7691" max="7936" width="12.28515625" style="104" hidden="1"/>
    <col min="7937" max="7937" width="53.7109375" style="104" hidden="1"/>
    <col min="7938" max="7938" width="12.28515625" style="104" hidden="1"/>
    <col min="7939" max="7939" width="10.5703125" style="104" hidden="1"/>
    <col min="7940" max="7940" width="9.7109375" style="104" hidden="1"/>
    <col min="7941" max="7941" width="12.28515625" style="104" hidden="1"/>
    <col min="7942" max="7942" width="9.28515625" style="104" hidden="1"/>
    <col min="7943" max="7943" width="8.28515625" style="104" hidden="1"/>
    <col min="7944" max="7944" width="9.140625" style="104" hidden="1"/>
    <col min="7945" max="7945" width="14" style="104" hidden="1"/>
    <col min="7946" max="7946" width="17.7109375" style="104" hidden="1"/>
    <col min="7947" max="8192" width="12.28515625" style="104" hidden="1"/>
    <col min="8193" max="8193" width="53.7109375" style="104" hidden="1"/>
    <col min="8194" max="8194" width="12.28515625" style="104" hidden="1"/>
    <col min="8195" max="8195" width="10.5703125" style="104" hidden="1"/>
    <col min="8196" max="8196" width="9.7109375" style="104" hidden="1"/>
    <col min="8197" max="8197" width="12.28515625" style="104" hidden="1"/>
    <col min="8198" max="8198" width="9.28515625" style="104" hidden="1"/>
    <col min="8199" max="8199" width="8.28515625" style="104" hidden="1"/>
    <col min="8200" max="8200" width="9.140625" style="104" hidden="1"/>
    <col min="8201" max="8201" width="14" style="104" hidden="1"/>
    <col min="8202" max="8202" width="17.7109375" style="104" hidden="1"/>
    <col min="8203" max="8448" width="12.28515625" style="104" hidden="1"/>
    <col min="8449" max="8449" width="53.7109375" style="104" hidden="1"/>
    <col min="8450" max="8450" width="12.28515625" style="104" hidden="1"/>
    <col min="8451" max="8451" width="10.5703125" style="104" hidden="1"/>
    <col min="8452" max="8452" width="9.7109375" style="104" hidden="1"/>
    <col min="8453" max="8453" width="12.28515625" style="104" hidden="1"/>
    <col min="8454" max="8454" width="9.28515625" style="104" hidden="1"/>
    <col min="8455" max="8455" width="8.28515625" style="104" hidden="1"/>
    <col min="8456" max="8456" width="9.140625" style="104" hidden="1"/>
    <col min="8457" max="8457" width="14" style="104" hidden="1"/>
    <col min="8458" max="8458" width="17.7109375" style="104" hidden="1"/>
    <col min="8459" max="8704" width="12.28515625" style="104" hidden="1"/>
    <col min="8705" max="8705" width="53.7109375" style="104" hidden="1"/>
    <col min="8706" max="8706" width="12.28515625" style="104" hidden="1"/>
    <col min="8707" max="8707" width="10.5703125" style="104" hidden="1"/>
    <col min="8708" max="8708" width="9.7109375" style="104" hidden="1"/>
    <col min="8709" max="8709" width="12.28515625" style="104" hidden="1"/>
    <col min="8710" max="8710" width="9.28515625" style="104" hidden="1"/>
    <col min="8711" max="8711" width="8.28515625" style="104" hidden="1"/>
    <col min="8712" max="8712" width="9.140625" style="104" hidden="1"/>
    <col min="8713" max="8713" width="14" style="104" hidden="1"/>
    <col min="8714" max="8714" width="17.7109375" style="104" hidden="1"/>
    <col min="8715" max="8960" width="12.28515625" style="104" hidden="1"/>
    <col min="8961" max="8961" width="53.7109375" style="104" hidden="1"/>
    <col min="8962" max="8962" width="12.28515625" style="104" hidden="1"/>
    <col min="8963" max="8963" width="10.5703125" style="104" hidden="1"/>
    <col min="8964" max="8964" width="9.7109375" style="104" hidden="1"/>
    <col min="8965" max="8965" width="12.28515625" style="104" hidden="1"/>
    <col min="8966" max="8966" width="9.28515625" style="104" hidden="1"/>
    <col min="8967" max="8967" width="8.28515625" style="104" hidden="1"/>
    <col min="8968" max="8968" width="9.140625" style="104" hidden="1"/>
    <col min="8969" max="8969" width="14" style="104" hidden="1"/>
    <col min="8970" max="8970" width="17.7109375" style="104" hidden="1"/>
    <col min="8971" max="9216" width="12.28515625" style="104" hidden="1"/>
    <col min="9217" max="9217" width="53.7109375" style="104" hidden="1"/>
    <col min="9218" max="9218" width="12.28515625" style="104" hidden="1"/>
    <col min="9219" max="9219" width="10.5703125" style="104" hidden="1"/>
    <col min="9220" max="9220" width="9.7109375" style="104" hidden="1"/>
    <col min="9221" max="9221" width="12.28515625" style="104" hidden="1"/>
    <col min="9222" max="9222" width="9.28515625" style="104" hidden="1"/>
    <col min="9223" max="9223" width="8.28515625" style="104" hidden="1"/>
    <col min="9224" max="9224" width="9.140625" style="104" hidden="1"/>
    <col min="9225" max="9225" width="14" style="104" hidden="1"/>
    <col min="9226" max="9226" width="17.7109375" style="104" hidden="1"/>
    <col min="9227" max="9472" width="12.28515625" style="104" hidden="1"/>
    <col min="9473" max="9473" width="53.7109375" style="104" hidden="1"/>
    <col min="9474" max="9474" width="12.28515625" style="104" hidden="1"/>
    <col min="9475" max="9475" width="10.5703125" style="104" hidden="1"/>
    <col min="9476" max="9476" width="9.7109375" style="104" hidden="1"/>
    <col min="9477" max="9477" width="12.28515625" style="104" hidden="1"/>
    <col min="9478" max="9478" width="9.28515625" style="104" hidden="1"/>
    <col min="9479" max="9479" width="8.28515625" style="104" hidden="1"/>
    <col min="9480" max="9480" width="9.140625" style="104" hidden="1"/>
    <col min="9481" max="9481" width="14" style="104" hidden="1"/>
    <col min="9482" max="9482" width="17.7109375" style="104" hidden="1"/>
    <col min="9483" max="9728" width="12.28515625" style="104" hidden="1"/>
    <col min="9729" max="9729" width="53.7109375" style="104" hidden="1"/>
    <col min="9730" max="9730" width="12.28515625" style="104" hidden="1"/>
    <col min="9731" max="9731" width="10.5703125" style="104" hidden="1"/>
    <col min="9732" max="9732" width="9.7109375" style="104" hidden="1"/>
    <col min="9733" max="9733" width="12.28515625" style="104" hidden="1"/>
    <col min="9734" max="9734" width="9.28515625" style="104" hidden="1"/>
    <col min="9735" max="9735" width="8.28515625" style="104" hidden="1"/>
    <col min="9736" max="9736" width="9.140625" style="104" hidden="1"/>
    <col min="9737" max="9737" width="14" style="104" hidden="1"/>
    <col min="9738" max="9738" width="17.7109375" style="104" hidden="1"/>
    <col min="9739" max="9984" width="12.28515625" style="104" hidden="1"/>
    <col min="9985" max="9985" width="53.7109375" style="104" hidden="1"/>
    <col min="9986" max="9986" width="12.28515625" style="104" hidden="1"/>
    <col min="9987" max="9987" width="10.5703125" style="104" hidden="1"/>
    <col min="9988" max="9988" width="9.7109375" style="104" hidden="1"/>
    <col min="9989" max="9989" width="12.28515625" style="104" hidden="1"/>
    <col min="9990" max="9990" width="9.28515625" style="104" hidden="1"/>
    <col min="9991" max="9991" width="8.28515625" style="104" hidden="1"/>
    <col min="9992" max="9992" width="9.140625" style="104" hidden="1"/>
    <col min="9993" max="9993" width="14" style="104" hidden="1"/>
    <col min="9994" max="9994" width="17.7109375" style="104" hidden="1"/>
    <col min="9995" max="10240" width="12.28515625" style="104" hidden="1"/>
    <col min="10241" max="10241" width="53.7109375" style="104" hidden="1"/>
    <col min="10242" max="10242" width="12.28515625" style="104" hidden="1"/>
    <col min="10243" max="10243" width="10.5703125" style="104" hidden="1"/>
    <col min="10244" max="10244" width="9.7109375" style="104" hidden="1"/>
    <col min="10245" max="10245" width="12.28515625" style="104" hidden="1"/>
    <col min="10246" max="10246" width="9.28515625" style="104" hidden="1"/>
    <col min="10247" max="10247" width="8.28515625" style="104" hidden="1"/>
    <col min="10248" max="10248" width="9.140625" style="104" hidden="1"/>
    <col min="10249" max="10249" width="14" style="104" hidden="1"/>
    <col min="10250" max="10250" width="17.7109375" style="104" hidden="1"/>
    <col min="10251" max="10496" width="12.28515625" style="104" hidden="1"/>
    <col min="10497" max="10497" width="53.7109375" style="104" hidden="1"/>
    <col min="10498" max="10498" width="12.28515625" style="104" hidden="1"/>
    <col min="10499" max="10499" width="10.5703125" style="104" hidden="1"/>
    <col min="10500" max="10500" width="9.7109375" style="104" hidden="1"/>
    <col min="10501" max="10501" width="12.28515625" style="104" hidden="1"/>
    <col min="10502" max="10502" width="9.28515625" style="104" hidden="1"/>
    <col min="10503" max="10503" width="8.28515625" style="104" hidden="1"/>
    <col min="10504" max="10504" width="9.140625" style="104" hidden="1"/>
    <col min="10505" max="10505" width="14" style="104" hidden="1"/>
    <col min="10506" max="10506" width="17.7109375" style="104" hidden="1"/>
    <col min="10507" max="10752" width="12.28515625" style="104" hidden="1"/>
    <col min="10753" max="10753" width="53.7109375" style="104" hidden="1"/>
    <col min="10754" max="10754" width="12.28515625" style="104" hidden="1"/>
    <col min="10755" max="10755" width="10.5703125" style="104" hidden="1"/>
    <col min="10756" max="10756" width="9.7109375" style="104" hidden="1"/>
    <col min="10757" max="10757" width="12.28515625" style="104" hidden="1"/>
    <col min="10758" max="10758" width="9.28515625" style="104" hidden="1"/>
    <col min="10759" max="10759" width="8.28515625" style="104" hidden="1"/>
    <col min="10760" max="10760" width="9.140625" style="104" hidden="1"/>
    <col min="10761" max="10761" width="14" style="104" hidden="1"/>
    <col min="10762" max="10762" width="17.7109375" style="104" hidden="1"/>
    <col min="10763" max="11008" width="12.28515625" style="104" hidden="1"/>
    <col min="11009" max="11009" width="53.7109375" style="104" hidden="1"/>
    <col min="11010" max="11010" width="12.28515625" style="104" hidden="1"/>
    <col min="11011" max="11011" width="10.5703125" style="104" hidden="1"/>
    <col min="11012" max="11012" width="9.7109375" style="104" hidden="1"/>
    <col min="11013" max="11013" width="12.28515625" style="104" hidden="1"/>
    <col min="11014" max="11014" width="9.28515625" style="104" hidden="1"/>
    <col min="11015" max="11015" width="8.28515625" style="104" hidden="1"/>
    <col min="11016" max="11016" width="9.140625" style="104" hidden="1"/>
    <col min="11017" max="11017" width="14" style="104" hidden="1"/>
    <col min="11018" max="11018" width="17.7109375" style="104" hidden="1"/>
    <col min="11019" max="11264" width="12.28515625" style="104" hidden="1"/>
    <col min="11265" max="11265" width="53.7109375" style="104" hidden="1"/>
    <col min="11266" max="11266" width="12.28515625" style="104" hidden="1"/>
    <col min="11267" max="11267" width="10.5703125" style="104" hidden="1"/>
    <col min="11268" max="11268" width="9.7109375" style="104" hidden="1"/>
    <col min="11269" max="11269" width="12.28515625" style="104" hidden="1"/>
    <col min="11270" max="11270" width="9.28515625" style="104" hidden="1"/>
    <col min="11271" max="11271" width="8.28515625" style="104" hidden="1"/>
    <col min="11272" max="11272" width="9.140625" style="104" hidden="1"/>
    <col min="11273" max="11273" width="14" style="104" hidden="1"/>
    <col min="11274" max="11274" width="17.7109375" style="104" hidden="1"/>
    <col min="11275" max="11520" width="12.28515625" style="104" hidden="1"/>
    <col min="11521" max="11521" width="53.7109375" style="104" hidden="1"/>
    <col min="11522" max="11522" width="12.28515625" style="104" hidden="1"/>
    <col min="11523" max="11523" width="10.5703125" style="104" hidden="1"/>
    <col min="11524" max="11524" width="9.7109375" style="104" hidden="1"/>
    <col min="11525" max="11525" width="12.28515625" style="104" hidden="1"/>
    <col min="11526" max="11526" width="9.28515625" style="104" hidden="1"/>
    <col min="11527" max="11527" width="8.28515625" style="104" hidden="1"/>
    <col min="11528" max="11528" width="9.140625" style="104" hidden="1"/>
    <col min="11529" max="11529" width="14" style="104" hidden="1"/>
    <col min="11530" max="11530" width="17.7109375" style="104" hidden="1"/>
    <col min="11531" max="11776" width="12.28515625" style="104" hidden="1"/>
    <col min="11777" max="11777" width="53.7109375" style="104" hidden="1"/>
    <col min="11778" max="11778" width="12.28515625" style="104" hidden="1"/>
    <col min="11779" max="11779" width="10.5703125" style="104" hidden="1"/>
    <col min="11780" max="11780" width="9.7109375" style="104" hidden="1"/>
    <col min="11781" max="11781" width="12.28515625" style="104" hidden="1"/>
    <col min="11782" max="11782" width="9.28515625" style="104" hidden="1"/>
    <col min="11783" max="11783" width="8.28515625" style="104" hidden="1"/>
    <col min="11784" max="11784" width="9.140625" style="104" hidden="1"/>
    <col min="11785" max="11785" width="14" style="104" hidden="1"/>
    <col min="11786" max="11786" width="17.7109375" style="104" hidden="1"/>
    <col min="11787" max="12032" width="12.28515625" style="104" hidden="1"/>
    <col min="12033" max="12033" width="53.7109375" style="104" hidden="1"/>
    <col min="12034" max="12034" width="12.28515625" style="104" hidden="1"/>
    <col min="12035" max="12035" width="10.5703125" style="104" hidden="1"/>
    <col min="12036" max="12036" width="9.7109375" style="104" hidden="1"/>
    <col min="12037" max="12037" width="12.28515625" style="104" hidden="1"/>
    <col min="12038" max="12038" width="9.28515625" style="104" hidden="1"/>
    <col min="12039" max="12039" width="8.28515625" style="104" hidden="1"/>
    <col min="12040" max="12040" width="9.140625" style="104" hidden="1"/>
    <col min="12041" max="12041" width="14" style="104" hidden="1"/>
    <col min="12042" max="12042" width="17.7109375" style="104" hidden="1"/>
    <col min="12043" max="12288" width="12.28515625" style="104" hidden="1"/>
    <col min="12289" max="12289" width="53.7109375" style="104" hidden="1"/>
    <col min="12290" max="12290" width="12.28515625" style="104" hidden="1"/>
    <col min="12291" max="12291" width="10.5703125" style="104" hidden="1"/>
    <col min="12292" max="12292" width="9.7109375" style="104" hidden="1"/>
    <col min="12293" max="12293" width="12.28515625" style="104" hidden="1"/>
    <col min="12294" max="12294" width="9.28515625" style="104" hidden="1"/>
    <col min="12295" max="12295" width="8.28515625" style="104" hidden="1"/>
    <col min="12296" max="12296" width="9.140625" style="104" hidden="1"/>
    <col min="12297" max="12297" width="14" style="104" hidden="1"/>
    <col min="12298" max="12298" width="17.7109375" style="104" hidden="1"/>
    <col min="12299" max="12544" width="12.28515625" style="104" hidden="1"/>
    <col min="12545" max="12545" width="53.7109375" style="104" hidden="1"/>
    <col min="12546" max="12546" width="12.28515625" style="104" hidden="1"/>
    <col min="12547" max="12547" width="10.5703125" style="104" hidden="1"/>
    <col min="12548" max="12548" width="9.7109375" style="104" hidden="1"/>
    <col min="12549" max="12549" width="12.28515625" style="104" hidden="1"/>
    <col min="12550" max="12550" width="9.28515625" style="104" hidden="1"/>
    <col min="12551" max="12551" width="8.28515625" style="104" hidden="1"/>
    <col min="12552" max="12552" width="9.140625" style="104" hidden="1"/>
    <col min="12553" max="12553" width="14" style="104" hidden="1"/>
    <col min="12554" max="12554" width="17.7109375" style="104" hidden="1"/>
    <col min="12555" max="12800" width="12.28515625" style="104" hidden="1"/>
    <col min="12801" max="12801" width="53.7109375" style="104" hidden="1"/>
    <col min="12802" max="12802" width="12.28515625" style="104" hidden="1"/>
    <col min="12803" max="12803" width="10.5703125" style="104" hidden="1"/>
    <col min="12804" max="12804" width="9.7109375" style="104" hidden="1"/>
    <col min="12805" max="12805" width="12.28515625" style="104" hidden="1"/>
    <col min="12806" max="12806" width="9.28515625" style="104" hidden="1"/>
    <col min="12807" max="12807" width="8.28515625" style="104" hidden="1"/>
    <col min="12808" max="12808" width="9.140625" style="104" hidden="1"/>
    <col min="12809" max="12809" width="14" style="104" hidden="1"/>
    <col min="12810" max="12810" width="17.7109375" style="104" hidden="1"/>
    <col min="12811" max="13056" width="12.28515625" style="104" hidden="1"/>
    <col min="13057" max="13057" width="53.7109375" style="104" hidden="1"/>
    <col min="13058" max="13058" width="12.28515625" style="104" hidden="1"/>
    <col min="13059" max="13059" width="10.5703125" style="104" hidden="1"/>
    <col min="13060" max="13060" width="9.7109375" style="104" hidden="1"/>
    <col min="13061" max="13061" width="12.28515625" style="104" hidden="1"/>
    <col min="13062" max="13062" width="9.28515625" style="104" hidden="1"/>
    <col min="13063" max="13063" width="8.28515625" style="104" hidden="1"/>
    <col min="13064" max="13064" width="9.140625" style="104" hidden="1"/>
    <col min="13065" max="13065" width="14" style="104" hidden="1"/>
    <col min="13066" max="13066" width="17.7109375" style="104" hidden="1"/>
    <col min="13067" max="13312" width="12.28515625" style="104" hidden="1"/>
    <col min="13313" max="13313" width="53.7109375" style="104" hidden="1"/>
    <col min="13314" max="13314" width="12.28515625" style="104" hidden="1"/>
    <col min="13315" max="13315" width="10.5703125" style="104" hidden="1"/>
    <col min="13316" max="13316" width="9.7109375" style="104" hidden="1"/>
    <col min="13317" max="13317" width="12.28515625" style="104" hidden="1"/>
    <col min="13318" max="13318" width="9.28515625" style="104" hidden="1"/>
    <col min="13319" max="13319" width="8.28515625" style="104" hidden="1"/>
    <col min="13320" max="13320" width="9.140625" style="104" hidden="1"/>
    <col min="13321" max="13321" width="14" style="104" hidden="1"/>
    <col min="13322" max="13322" width="17.7109375" style="104" hidden="1"/>
    <col min="13323" max="13568" width="12.28515625" style="104" hidden="1"/>
    <col min="13569" max="13569" width="53.7109375" style="104" hidden="1"/>
    <col min="13570" max="13570" width="12.28515625" style="104" hidden="1"/>
    <col min="13571" max="13571" width="10.5703125" style="104" hidden="1"/>
    <col min="13572" max="13572" width="9.7109375" style="104" hidden="1"/>
    <col min="13573" max="13573" width="12.28515625" style="104" hidden="1"/>
    <col min="13574" max="13574" width="9.28515625" style="104" hidden="1"/>
    <col min="13575" max="13575" width="8.28515625" style="104" hidden="1"/>
    <col min="13576" max="13576" width="9.140625" style="104" hidden="1"/>
    <col min="13577" max="13577" width="14" style="104" hidden="1"/>
    <col min="13578" max="13578" width="17.7109375" style="104" hidden="1"/>
    <col min="13579" max="13824" width="12.28515625" style="104" hidden="1"/>
    <col min="13825" max="13825" width="53.7109375" style="104" hidden="1"/>
    <col min="13826" max="13826" width="12.28515625" style="104" hidden="1"/>
    <col min="13827" max="13827" width="10.5703125" style="104" hidden="1"/>
    <col min="13828" max="13828" width="9.7109375" style="104" hidden="1"/>
    <col min="13829" max="13829" width="12.28515625" style="104" hidden="1"/>
    <col min="13830" max="13830" width="9.28515625" style="104" hidden="1"/>
    <col min="13831" max="13831" width="8.28515625" style="104" hidden="1"/>
    <col min="13832" max="13832" width="9.140625" style="104" hidden="1"/>
    <col min="13833" max="13833" width="14" style="104" hidden="1"/>
    <col min="13834" max="13834" width="17.7109375" style="104" hidden="1"/>
    <col min="13835" max="14080" width="12.28515625" style="104" hidden="1"/>
    <col min="14081" max="14081" width="53.7109375" style="104" hidden="1"/>
    <col min="14082" max="14082" width="12.28515625" style="104" hidden="1"/>
    <col min="14083" max="14083" width="10.5703125" style="104" hidden="1"/>
    <col min="14084" max="14084" width="9.7109375" style="104" hidden="1"/>
    <col min="14085" max="14085" width="12.28515625" style="104" hidden="1"/>
    <col min="14086" max="14086" width="9.28515625" style="104" hidden="1"/>
    <col min="14087" max="14087" width="8.28515625" style="104" hidden="1"/>
    <col min="14088" max="14088" width="9.140625" style="104" hidden="1"/>
    <col min="14089" max="14089" width="14" style="104" hidden="1"/>
    <col min="14090" max="14090" width="17.7109375" style="104" hidden="1"/>
    <col min="14091" max="14336" width="12.28515625" style="104" hidden="1"/>
    <col min="14337" max="14337" width="53.7109375" style="104" hidden="1"/>
    <col min="14338" max="14338" width="12.28515625" style="104" hidden="1"/>
    <col min="14339" max="14339" width="10.5703125" style="104" hidden="1"/>
    <col min="14340" max="14340" width="9.7109375" style="104" hidden="1"/>
    <col min="14341" max="14341" width="12.28515625" style="104" hidden="1"/>
    <col min="14342" max="14342" width="9.28515625" style="104" hidden="1"/>
    <col min="14343" max="14343" width="8.28515625" style="104" hidden="1"/>
    <col min="14344" max="14344" width="9.140625" style="104" hidden="1"/>
    <col min="14345" max="14345" width="14" style="104" hidden="1"/>
    <col min="14346" max="14346" width="17.7109375" style="104" hidden="1"/>
    <col min="14347" max="14592" width="12.28515625" style="104" hidden="1"/>
    <col min="14593" max="14593" width="53.7109375" style="104" hidden="1"/>
    <col min="14594" max="14594" width="12.28515625" style="104" hidden="1"/>
    <col min="14595" max="14595" width="10.5703125" style="104" hidden="1"/>
    <col min="14596" max="14596" width="9.7109375" style="104" hidden="1"/>
    <col min="14597" max="14597" width="12.28515625" style="104" hidden="1"/>
    <col min="14598" max="14598" width="9.28515625" style="104" hidden="1"/>
    <col min="14599" max="14599" width="8.28515625" style="104" hidden="1"/>
    <col min="14600" max="14600" width="9.140625" style="104" hidden="1"/>
    <col min="14601" max="14601" width="14" style="104" hidden="1"/>
    <col min="14602" max="14602" width="17.7109375" style="104" hidden="1"/>
    <col min="14603" max="14848" width="12.28515625" style="104" hidden="1"/>
    <col min="14849" max="14849" width="53.7109375" style="104" hidden="1"/>
    <col min="14850" max="14850" width="12.28515625" style="104" hidden="1"/>
    <col min="14851" max="14851" width="10.5703125" style="104" hidden="1"/>
    <col min="14852" max="14852" width="9.7109375" style="104" hidden="1"/>
    <col min="14853" max="14853" width="12.28515625" style="104" hidden="1"/>
    <col min="14854" max="14854" width="9.28515625" style="104" hidden="1"/>
    <col min="14855" max="14855" width="8.28515625" style="104" hidden="1"/>
    <col min="14856" max="14856" width="9.140625" style="104" hidden="1"/>
    <col min="14857" max="14857" width="14" style="104" hidden="1"/>
    <col min="14858" max="14858" width="17.7109375" style="104" hidden="1"/>
    <col min="14859" max="15104" width="12.28515625" style="104" hidden="1"/>
    <col min="15105" max="15105" width="53.7109375" style="104" hidden="1"/>
    <col min="15106" max="15106" width="12.28515625" style="104" hidden="1"/>
    <col min="15107" max="15107" width="10.5703125" style="104" hidden="1"/>
    <col min="15108" max="15108" width="9.7109375" style="104" hidden="1"/>
    <col min="15109" max="15109" width="12.28515625" style="104" hidden="1"/>
    <col min="15110" max="15110" width="9.28515625" style="104" hidden="1"/>
    <col min="15111" max="15111" width="8.28515625" style="104" hidden="1"/>
    <col min="15112" max="15112" width="9.140625" style="104" hidden="1"/>
    <col min="15113" max="15113" width="14" style="104" hidden="1"/>
    <col min="15114" max="15114" width="17.7109375" style="104" hidden="1"/>
    <col min="15115" max="15360" width="12.28515625" style="104" hidden="1"/>
    <col min="15361" max="15361" width="53.7109375" style="104" hidden="1"/>
    <col min="15362" max="15362" width="12.28515625" style="104" hidden="1"/>
    <col min="15363" max="15363" width="10.5703125" style="104" hidden="1"/>
    <col min="15364" max="15364" width="9.7109375" style="104" hidden="1"/>
    <col min="15365" max="15365" width="12.28515625" style="104" hidden="1"/>
    <col min="15366" max="15366" width="9.28515625" style="104" hidden="1"/>
    <col min="15367" max="15367" width="8.28515625" style="104" hidden="1"/>
    <col min="15368" max="15368" width="9.140625" style="104" hidden="1"/>
    <col min="15369" max="15369" width="14" style="104" hidden="1"/>
    <col min="15370" max="15370" width="17.7109375" style="104" hidden="1"/>
    <col min="15371" max="15616" width="12.28515625" style="104" hidden="1"/>
    <col min="15617" max="15617" width="53.7109375" style="104" hidden="1"/>
    <col min="15618" max="15618" width="12.28515625" style="104" hidden="1"/>
    <col min="15619" max="15619" width="10.5703125" style="104" hidden="1"/>
    <col min="15620" max="15620" width="9.7109375" style="104" hidden="1"/>
    <col min="15621" max="15621" width="12.28515625" style="104" hidden="1"/>
    <col min="15622" max="15622" width="9.28515625" style="104" hidden="1"/>
    <col min="15623" max="15623" width="8.28515625" style="104" hidden="1"/>
    <col min="15624" max="15624" width="9.140625" style="104" hidden="1"/>
    <col min="15625" max="15625" width="14" style="104" hidden="1"/>
    <col min="15626" max="15626" width="17.7109375" style="104" hidden="1"/>
    <col min="15627" max="15872" width="12.28515625" style="104" hidden="1"/>
    <col min="15873" max="15873" width="53.7109375" style="104" hidden="1"/>
    <col min="15874" max="15874" width="12.28515625" style="104" hidden="1"/>
    <col min="15875" max="15875" width="10.5703125" style="104" hidden="1"/>
    <col min="15876" max="15876" width="9.7109375" style="104" hidden="1"/>
    <col min="15877" max="15877" width="12.28515625" style="104" hidden="1"/>
    <col min="15878" max="15878" width="9.28515625" style="104" hidden="1"/>
    <col min="15879" max="15879" width="8.28515625" style="104" hidden="1"/>
    <col min="15880" max="15880" width="9.140625" style="104" hidden="1"/>
    <col min="15881" max="15881" width="14" style="104" hidden="1"/>
    <col min="15882" max="15882" width="17.7109375" style="104" hidden="1"/>
    <col min="15883" max="16128" width="12.28515625" style="104" hidden="1"/>
    <col min="16129" max="16129" width="53.7109375" style="104" hidden="1"/>
    <col min="16130" max="16130" width="12.28515625" style="104" hidden="1"/>
    <col min="16131" max="16131" width="10.5703125" style="104" hidden="1"/>
    <col min="16132" max="16132" width="9.7109375" style="104" hidden="1"/>
    <col min="16133" max="16133" width="12.28515625" style="104" hidden="1"/>
    <col min="16134" max="16134" width="9.28515625" style="104" hidden="1"/>
    <col min="16135" max="16135" width="8.28515625" style="104" hidden="1"/>
    <col min="16136" max="16136" width="9.140625" style="104" hidden="1"/>
    <col min="16137" max="16137" width="14" style="104" hidden="1"/>
    <col min="16138" max="16138" width="17.7109375" style="104" hidden="1"/>
    <col min="16139" max="16384" width="12.28515625" style="104" hidden="1"/>
  </cols>
  <sheetData>
    <row r="1" spans="1:248" ht="15.75" x14ac:dyDescent="0.25">
      <c r="A1" s="100"/>
      <c r="B1" s="100"/>
      <c r="C1" s="101"/>
      <c r="D1" s="100"/>
      <c r="E1" s="100"/>
      <c r="F1" s="102"/>
      <c r="G1" s="100"/>
      <c r="H1" s="100"/>
      <c r="I1" s="103"/>
      <c r="J1" s="193" t="s">
        <v>192</v>
      </c>
    </row>
    <row r="2" spans="1:248" ht="15.75" x14ac:dyDescent="0.25">
      <c r="A2" s="100"/>
      <c r="B2" s="100"/>
      <c r="C2" s="101"/>
      <c r="D2" s="100"/>
      <c r="E2" s="100"/>
      <c r="F2" s="102"/>
      <c r="G2" s="100"/>
      <c r="H2" s="100"/>
      <c r="I2" s="103"/>
      <c r="J2" s="193"/>
    </row>
    <row r="3" spans="1:248" ht="25.5" customHeight="1" x14ac:dyDescent="0.3">
      <c r="A3" s="242" t="s">
        <v>142</v>
      </c>
      <c r="B3" s="242"/>
      <c r="C3" s="242"/>
      <c r="D3" s="242"/>
      <c r="E3" s="242"/>
      <c r="F3" s="242"/>
      <c r="G3" s="242"/>
      <c r="H3" s="242"/>
      <c r="I3" s="103"/>
    </row>
    <row r="4" spans="1:248" ht="15.75" x14ac:dyDescent="0.25">
      <c r="A4" s="243" t="s">
        <v>143</v>
      </c>
      <c r="B4" s="243"/>
      <c r="C4" s="243"/>
      <c r="D4" s="243"/>
      <c r="E4" s="243"/>
      <c r="F4" s="243"/>
      <c r="G4" s="243"/>
      <c r="H4" s="243"/>
      <c r="I4" s="103"/>
    </row>
    <row r="5" spans="1:248" ht="8.1" customHeight="1" x14ac:dyDescent="0.3">
      <c r="A5" s="105"/>
      <c r="B5" s="105"/>
      <c r="C5" s="106"/>
      <c r="D5" s="105"/>
      <c r="E5" s="105"/>
      <c r="F5" s="106"/>
      <c r="G5" s="105"/>
      <c r="H5" s="105"/>
      <c r="I5" s="103"/>
    </row>
    <row r="6" spans="1:248" ht="18.75" x14ac:dyDescent="0.3">
      <c r="A6" s="242" t="s">
        <v>144</v>
      </c>
      <c r="B6" s="242"/>
      <c r="C6" s="242"/>
      <c r="D6" s="242"/>
      <c r="E6" s="242"/>
      <c r="F6" s="242"/>
      <c r="G6" s="242"/>
      <c r="H6" s="242"/>
      <c r="I6" s="107"/>
      <c r="J6" s="108"/>
      <c r="K6" s="173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</row>
    <row r="7" spans="1:248" ht="18.75" x14ac:dyDescent="0.3">
      <c r="A7" s="242" t="s">
        <v>145</v>
      </c>
      <c r="B7" s="242"/>
      <c r="C7" s="242"/>
      <c r="D7" s="242"/>
      <c r="E7" s="242"/>
      <c r="F7" s="242"/>
      <c r="G7" s="242"/>
      <c r="H7" s="242"/>
      <c r="I7" s="107"/>
      <c r="J7" s="1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spans="1:248" ht="6" customHeight="1" thickBot="1" x14ac:dyDescent="0.25">
      <c r="A8" s="109"/>
      <c r="B8" s="109"/>
      <c r="C8" s="110"/>
      <c r="D8" s="109"/>
      <c r="E8" s="109"/>
      <c r="G8" s="109"/>
      <c r="H8" s="109"/>
      <c r="I8" s="103"/>
      <c r="K8" s="137"/>
      <c r="L8" s="137"/>
    </row>
    <row r="9" spans="1:248" s="3" customFormat="1" ht="16.5" customHeight="1" x14ac:dyDescent="0.2">
      <c r="A9" s="244" t="s">
        <v>146</v>
      </c>
      <c r="B9" s="240" t="s">
        <v>204</v>
      </c>
      <c r="C9" s="240" t="s">
        <v>223</v>
      </c>
      <c r="D9" s="240" t="s">
        <v>147</v>
      </c>
      <c r="E9" s="246" t="s">
        <v>211</v>
      </c>
      <c r="F9" s="246" t="s">
        <v>224</v>
      </c>
      <c r="G9" s="240" t="s">
        <v>147</v>
      </c>
      <c r="H9" s="240" t="s">
        <v>148</v>
      </c>
      <c r="I9" s="112"/>
    </row>
    <row r="10" spans="1:248" s="3" customFormat="1" ht="23.25" customHeight="1" thickBot="1" x14ac:dyDescent="0.25">
      <c r="A10" s="245"/>
      <c r="B10" s="241"/>
      <c r="C10" s="241"/>
      <c r="D10" s="241"/>
      <c r="E10" s="247"/>
      <c r="F10" s="247"/>
      <c r="G10" s="241"/>
      <c r="H10" s="241"/>
      <c r="I10" s="112"/>
    </row>
    <row r="11" spans="1:248" s="10" customFormat="1" ht="12.75" x14ac:dyDescent="0.2">
      <c r="A11" s="8" t="s">
        <v>1</v>
      </c>
      <c r="B11" s="114">
        <v>54725.255971217004</v>
      </c>
      <c r="C11" s="114">
        <f>IF($A11="","",SUM('Situfin serie mensual'!IT2:IW2))</f>
        <v>15733.878077495001</v>
      </c>
      <c r="D11" s="114">
        <f>IFERROR((C11/B11*100),0)</f>
        <v>28.750670596717363</v>
      </c>
      <c r="E11" s="114">
        <v>61634.014371301993</v>
      </c>
      <c r="F11" s="114">
        <f>IF($A11="","",'2'!N12)</f>
        <v>17204.768565810002</v>
      </c>
      <c r="G11" s="114">
        <f>IFERROR((F11/E11*100),0)</f>
        <v>27.914405286281141</v>
      </c>
      <c r="H11" s="114">
        <f>IF(C11&lt;&gt;0,F11/C11*100-100," ")</f>
        <v>9.3485565419430401</v>
      </c>
      <c r="I11" s="115"/>
    </row>
    <row r="12" spans="1:248" s="10" customFormat="1" ht="6.75" customHeight="1" x14ac:dyDescent="0.2">
      <c r="A12" s="8"/>
      <c r="B12" s="114"/>
      <c r="C12" s="114" t="s">
        <v>149</v>
      </c>
      <c r="D12" s="114"/>
      <c r="E12" s="114"/>
      <c r="F12" s="114" t="str">
        <f>IF($A12="","",'2'!N13)</f>
        <v/>
      </c>
      <c r="G12" s="114"/>
      <c r="H12" s="114"/>
      <c r="I12" s="115"/>
    </row>
    <row r="13" spans="1:248" s="10" customFormat="1" ht="12.75" outlineLevel="1" x14ac:dyDescent="0.2">
      <c r="A13" s="10" t="s">
        <v>94</v>
      </c>
      <c r="B13" s="116">
        <v>34616.403073934001</v>
      </c>
      <c r="C13" s="116">
        <f>IF($A13="","",SUM('Situfin serie mensual'!IT4:IW4))</f>
        <v>12015.707473808001</v>
      </c>
      <c r="D13" s="116">
        <f>IFERROR((C13/B13*100),0)</f>
        <v>34.711022540801686</v>
      </c>
      <c r="E13" s="116">
        <v>39970.432429784996</v>
      </c>
      <c r="F13" s="116">
        <f>IF($A13="","",'2'!N14)</f>
        <v>13278.945735234001</v>
      </c>
      <c r="G13" s="116">
        <f>IFERROR((F13/E13*100),0)</f>
        <v>33.221921625593552</v>
      </c>
      <c r="H13" s="116">
        <f>IF(C13&lt;&gt;0,F13/C13*100-100," ")</f>
        <v>10.513224162452545</v>
      </c>
      <c r="I13" s="115"/>
      <c r="L13" s="117"/>
    </row>
    <row r="14" spans="1:248" s="119" customFormat="1" ht="6" customHeight="1" x14ac:dyDescent="0.2">
      <c r="A14" s="13"/>
      <c r="B14" s="118"/>
      <c r="C14" s="118"/>
      <c r="D14" s="118"/>
      <c r="E14" s="224"/>
      <c r="F14" s="224" t="str">
        <f>IF($A14="","",'2'!N15)</f>
        <v/>
      </c>
      <c r="G14" s="118"/>
      <c r="H14" s="118"/>
      <c r="I14" s="115"/>
    </row>
    <row r="15" spans="1:248" s="16" customFormat="1" ht="12.75" outlineLevel="2" x14ac:dyDescent="0.2">
      <c r="A15" s="10" t="s">
        <v>10</v>
      </c>
      <c r="B15" s="116">
        <v>4519.9829034539998</v>
      </c>
      <c r="C15" s="116">
        <f>IF($A15="","",SUM('Situfin serie mensual'!IT13:IW13))</f>
        <v>1097.2662328710001</v>
      </c>
      <c r="D15" s="116">
        <f>IFERROR((C15/B15*100),0)</f>
        <v>24.275893433855927</v>
      </c>
      <c r="E15" s="225">
        <v>4354.2132958170005</v>
      </c>
      <c r="F15" s="225">
        <f>IF($A15="","",'2'!N16)</f>
        <v>1119.6314853509998</v>
      </c>
      <c r="G15" s="116">
        <f>IFERROR((F15/E15*100),0)</f>
        <v>25.71374917316535</v>
      </c>
      <c r="H15" s="116">
        <f>IF(C15&lt;&gt;0,F15/C15*100-100," ")</f>
        <v>2.0382703677557856</v>
      </c>
      <c r="I15" s="115"/>
      <c r="L15" s="120"/>
    </row>
    <row r="16" spans="1:248" s="119" customFormat="1" ht="8.25" customHeight="1" x14ac:dyDescent="0.2">
      <c r="A16" s="13"/>
      <c r="B16" s="118"/>
      <c r="C16" s="118" t="str">
        <f>IF($A16="","",SUM('Situfin serie mensual'!IT14:IW14))</f>
        <v/>
      </c>
      <c r="D16" s="118"/>
      <c r="E16" s="224"/>
      <c r="F16" s="224" t="str">
        <f>IF($A16="","",'2'!N17)</f>
        <v/>
      </c>
      <c r="G16" s="118"/>
      <c r="H16" s="118"/>
      <c r="I16" s="115"/>
    </row>
    <row r="17" spans="1:11" s="16" customFormat="1" ht="12.75" outlineLevel="2" x14ac:dyDescent="0.2">
      <c r="A17" s="10" t="s">
        <v>11</v>
      </c>
      <c r="B17" s="116">
        <v>2303.663124617</v>
      </c>
      <c r="C17" s="116">
        <f>IF($A17="","",SUM('Situfin serie mensual'!IT15:IW15))</f>
        <v>579.38410528500003</v>
      </c>
      <c r="D17" s="116">
        <f t="shared" ref="D17:D34" si="0">IFERROR((C17/B17*100),0)</f>
        <v>25.150556914927684</v>
      </c>
      <c r="E17" s="225">
        <v>2217.2974059779999</v>
      </c>
      <c r="F17" s="225">
        <f>IF($A17="","",'2'!N18)</f>
        <v>519.73468122400004</v>
      </c>
      <c r="G17" s="116">
        <f t="shared" ref="G17:G34" si="1">IFERROR((F17/E17*100),0)</f>
        <v>23.440007633741708</v>
      </c>
      <c r="H17" s="116">
        <f t="shared" ref="H17:H34" si="2">IF(C17&lt;&gt;0,F17/C17*100-100," ")</f>
        <v>-10.295315925461637</v>
      </c>
      <c r="I17" s="115"/>
    </row>
    <row r="18" spans="1:11" s="119" customFormat="1" ht="12.75" customHeight="1" x14ac:dyDescent="0.2">
      <c r="A18" s="13" t="s">
        <v>150</v>
      </c>
      <c r="B18" s="118">
        <v>616.63992247700003</v>
      </c>
      <c r="C18" s="118">
        <f>IF($A18="","",SUM('Situfin serie mensual'!IT16:IW16))</f>
        <v>26.944195075</v>
      </c>
      <c r="D18" s="118">
        <f t="shared" si="0"/>
        <v>4.369518432534667</v>
      </c>
      <c r="E18" s="224">
        <v>421.49591166800002</v>
      </c>
      <c r="F18" s="224">
        <f>IF($A18="","",'2'!N19)</f>
        <v>1.118168134</v>
      </c>
      <c r="G18" s="118">
        <f t="shared" si="1"/>
        <v>0.26528564169816865</v>
      </c>
      <c r="H18" s="118">
        <f t="shared" si="2"/>
        <v>-95.85005923952248</v>
      </c>
      <c r="I18" s="115"/>
    </row>
    <row r="19" spans="1:11" s="119" customFormat="1" ht="12.75" customHeight="1" x14ac:dyDescent="0.2">
      <c r="A19" s="171" t="s">
        <v>186</v>
      </c>
      <c r="B19" s="118">
        <v>43.058094912999998</v>
      </c>
      <c r="C19" s="118">
        <f>IF($A19="","",SUM('Situfin serie mensual'!IT17:IW17))</f>
        <v>0</v>
      </c>
      <c r="D19" s="118">
        <f t="shared" si="0"/>
        <v>0</v>
      </c>
      <c r="E19" s="224">
        <v>1.4101000000000001E-2</v>
      </c>
      <c r="F19" s="224">
        <f>IF($A19="","",'2'!N20)</f>
        <v>0</v>
      </c>
      <c r="G19" s="118">
        <f t="shared" si="1"/>
        <v>0</v>
      </c>
      <c r="H19" s="118" t="str">
        <f t="shared" si="2"/>
        <v xml:space="preserve"> </v>
      </c>
      <c r="I19" s="115"/>
    </row>
    <row r="20" spans="1:11" s="119" customFormat="1" ht="12.75" customHeight="1" x14ac:dyDescent="0.2">
      <c r="A20" s="171" t="s">
        <v>187</v>
      </c>
      <c r="B20" s="118">
        <v>573.58182756400004</v>
      </c>
      <c r="C20" s="118">
        <f>IF($A20="","",SUM('Situfin serie mensual'!IT18:IW18))</f>
        <v>26.944195075</v>
      </c>
      <c r="D20" s="118">
        <f t="shared" si="0"/>
        <v>4.6975329029219592</v>
      </c>
      <c r="E20" s="224">
        <v>421.48181066800004</v>
      </c>
      <c r="F20" s="224">
        <f>IF($A20="","",'2'!N21)</f>
        <v>1.118168134</v>
      </c>
      <c r="G20" s="118">
        <f t="shared" si="1"/>
        <v>0.26529451703451512</v>
      </c>
      <c r="H20" s="118">
        <f t="shared" si="2"/>
        <v>-95.85005923952248</v>
      </c>
      <c r="I20" s="115"/>
    </row>
    <row r="21" spans="1:11" s="119" customFormat="1" ht="12.75" customHeight="1" x14ac:dyDescent="0.2">
      <c r="A21" s="13" t="s">
        <v>151</v>
      </c>
      <c r="B21" s="118">
        <v>30.8843</v>
      </c>
      <c r="C21" s="118">
        <f>IF($A21="","",SUM('Situfin serie mensual'!IT19:IW19))</f>
        <v>152.51454167499998</v>
      </c>
      <c r="D21" s="118">
        <f t="shared" si="0"/>
        <v>493.82547661756939</v>
      </c>
      <c r="E21" s="224">
        <v>20.2</v>
      </c>
      <c r="F21" s="224">
        <f>IF($A21="","",'2'!N22)</f>
        <v>0</v>
      </c>
      <c r="G21" s="118">
        <f t="shared" si="1"/>
        <v>0</v>
      </c>
      <c r="H21" s="118">
        <f t="shared" si="2"/>
        <v>-100</v>
      </c>
      <c r="I21" s="115"/>
    </row>
    <row r="22" spans="1:11" s="119" customFormat="1" ht="12.75" customHeight="1" x14ac:dyDescent="0.2">
      <c r="A22" s="171" t="s">
        <v>186</v>
      </c>
      <c r="B22" s="118">
        <v>0</v>
      </c>
      <c r="C22" s="118">
        <f>IF($A22="","",SUM('Situfin serie mensual'!IT20:IW20))</f>
        <v>0</v>
      </c>
      <c r="D22" s="118">
        <f t="shared" si="0"/>
        <v>0</v>
      </c>
      <c r="E22" s="224">
        <v>0</v>
      </c>
      <c r="F22" s="224">
        <f>IF($A22="","",'2'!N23)</f>
        <v>0</v>
      </c>
      <c r="G22" s="118">
        <f t="shared" si="1"/>
        <v>0</v>
      </c>
      <c r="H22" s="118" t="str">
        <f t="shared" si="2"/>
        <v xml:space="preserve"> </v>
      </c>
      <c r="I22" s="115"/>
    </row>
    <row r="23" spans="1:11" s="119" customFormat="1" ht="12.75" customHeight="1" x14ac:dyDescent="0.2">
      <c r="A23" s="171" t="s">
        <v>187</v>
      </c>
      <c r="B23" s="118">
        <v>30.8843</v>
      </c>
      <c r="C23" s="118">
        <f>IF($A23="","",SUM('Situfin serie mensual'!IT21:IW21))</f>
        <v>152.51454167499998</v>
      </c>
      <c r="D23" s="118">
        <f t="shared" si="0"/>
        <v>493.82547661756939</v>
      </c>
      <c r="E23" s="224">
        <v>20.2</v>
      </c>
      <c r="F23" s="224">
        <f>IF($A23="","",'2'!N24)</f>
        <v>0</v>
      </c>
      <c r="G23" s="118">
        <f t="shared" si="1"/>
        <v>0</v>
      </c>
      <c r="H23" s="118">
        <f t="shared" si="2"/>
        <v>-100</v>
      </c>
      <c r="I23" s="115"/>
    </row>
    <row r="24" spans="1:11" s="119" customFormat="1" ht="12.75" customHeight="1" x14ac:dyDescent="0.2">
      <c r="A24" s="13" t="s">
        <v>152</v>
      </c>
      <c r="B24" s="118">
        <v>1656.1389021399998</v>
      </c>
      <c r="C24" s="118">
        <f>IF($A24="","",SUM('Situfin serie mensual'!IT22:IW22))</f>
        <v>399.92536853500002</v>
      </c>
      <c r="D24" s="118">
        <f t="shared" si="0"/>
        <v>24.148057147756848</v>
      </c>
      <c r="E24" s="224">
        <v>1775.6014943099999</v>
      </c>
      <c r="F24" s="224">
        <f>IF($A24="","",'2'!N25)</f>
        <v>518.61651309000001</v>
      </c>
      <c r="G24" s="118">
        <f t="shared" si="1"/>
        <v>29.207934029788301</v>
      </c>
      <c r="H24" s="118">
        <f t="shared" si="2"/>
        <v>29.678323480650249</v>
      </c>
      <c r="I24" s="115"/>
    </row>
    <row r="25" spans="1:11" s="119" customFormat="1" ht="12.75" customHeight="1" x14ac:dyDescent="0.2">
      <c r="A25" s="171" t="s">
        <v>186</v>
      </c>
      <c r="B25" s="118">
        <v>1656.1389021399998</v>
      </c>
      <c r="C25" s="118">
        <f>IF($A25="","",SUM('Situfin serie mensual'!IT23:IW23))</f>
        <v>399.92536853500002</v>
      </c>
      <c r="D25" s="118">
        <f t="shared" si="0"/>
        <v>24.148057147756848</v>
      </c>
      <c r="E25" s="224">
        <v>1775.6014943099999</v>
      </c>
      <c r="F25" s="224">
        <f>IF($A25="","",'2'!N26)</f>
        <v>518.61651309000001</v>
      </c>
      <c r="G25" s="118">
        <f t="shared" si="1"/>
        <v>29.207934029788301</v>
      </c>
      <c r="H25" s="118">
        <f t="shared" si="2"/>
        <v>29.678323480650249</v>
      </c>
      <c r="I25" s="115"/>
    </row>
    <row r="26" spans="1:11" s="119" customFormat="1" ht="12.75" customHeight="1" x14ac:dyDescent="0.2">
      <c r="A26" s="171" t="s">
        <v>187</v>
      </c>
      <c r="B26" s="118">
        <v>0</v>
      </c>
      <c r="C26" s="118">
        <f>IF($A26="","",SUM('Situfin serie mensual'!IT24:IW24))</f>
        <v>0</v>
      </c>
      <c r="D26" s="118">
        <f t="shared" si="0"/>
        <v>0</v>
      </c>
      <c r="E26" s="224">
        <v>0</v>
      </c>
      <c r="F26" s="224">
        <f>IF($A26="","",'2'!N27)</f>
        <v>0</v>
      </c>
      <c r="G26" s="118">
        <f t="shared" si="1"/>
        <v>0</v>
      </c>
      <c r="H26" s="118" t="str">
        <f t="shared" si="2"/>
        <v xml:space="preserve"> </v>
      </c>
      <c r="I26" s="115"/>
    </row>
    <row r="27" spans="1:11" s="16" customFormat="1" ht="12.75" outlineLevel="2" x14ac:dyDescent="0.2">
      <c r="A27" s="10" t="s">
        <v>17</v>
      </c>
      <c r="B27" s="116">
        <v>13285.206869211997</v>
      </c>
      <c r="C27" s="116">
        <f>IF($A27="","",SUM('Situfin serie mensual'!IT25:IW25))</f>
        <v>2041.5202655309999</v>
      </c>
      <c r="D27" s="116">
        <f t="shared" si="0"/>
        <v>15.36686846978764</v>
      </c>
      <c r="E27" s="225">
        <v>15092.071239721998</v>
      </c>
      <c r="F27" s="225">
        <f>IF($A27="","",'2'!N28)</f>
        <v>2286.4566640009998</v>
      </c>
      <c r="G27" s="116">
        <f t="shared" si="1"/>
        <v>15.150052154425939</v>
      </c>
      <c r="H27" s="116">
        <f t="shared" si="2"/>
        <v>11.997745141476315</v>
      </c>
      <c r="I27" s="115"/>
      <c r="K27" s="121"/>
    </row>
    <row r="28" spans="1:11" s="119" customFormat="1" ht="12.75" customHeight="1" x14ac:dyDescent="0.2">
      <c r="A28" s="13" t="s">
        <v>18</v>
      </c>
      <c r="B28" s="118">
        <v>4514.1400298340004</v>
      </c>
      <c r="C28" s="118">
        <f>IF($A28="","",SUM('Situfin serie mensual'!IT26:IW26))</f>
        <v>1003.7736037030002</v>
      </c>
      <c r="D28" s="118">
        <f t="shared" si="0"/>
        <v>22.236208825358752</v>
      </c>
      <c r="E28" s="224">
        <v>5144.3304457669992</v>
      </c>
      <c r="F28" s="224">
        <f>IF($A28="","",'2'!N29)</f>
        <v>1481.1825600910001</v>
      </c>
      <c r="G28" s="118">
        <f t="shared" si="1"/>
        <v>28.792523647266634</v>
      </c>
      <c r="H28" s="118">
        <f t="shared" si="2"/>
        <v>47.561417696859195</v>
      </c>
      <c r="I28" s="115"/>
    </row>
    <row r="29" spans="1:11" s="119" customFormat="1" ht="14.25" customHeight="1" x14ac:dyDescent="0.2">
      <c r="A29" s="171" t="s">
        <v>183</v>
      </c>
      <c r="B29" s="118">
        <v>3496.0407573689999</v>
      </c>
      <c r="C29" s="118">
        <f>IF($A29="","",SUM('Situfin serie mensual'!IT27:IW27))</f>
        <v>730.22832933899997</v>
      </c>
      <c r="D29" s="118">
        <f t="shared" si="0"/>
        <v>20.887294514510888</v>
      </c>
      <c r="E29" s="224">
        <v>4317.0785404369999</v>
      </c>
      <c r="F29" s="224">
        <f>IF($A29="","",'2'!N30)</f>
        <v>1381.221418636</v>
      </c>
      <c r="G29" s="118">
        <f t="shared" si="1"/>
        <v>31.994354647441387</v>
      </c>
      <c r="H29" s="118">
        <f t="shared" si="2"/>
        <v>89.149251424725833</v>
      </c>
      <c r="I29" s="115"/>
    </row>
    <row r="30" spans="1:11" s="119" customFormat="1" ht="14.25" customHeight="1" x14ac:dyDescent="0.2">
      <c r="A30" s="171" t="s">
        <v>184</v>
      </c>
      <c r="B30" s="118">
        <v>1018.0992724650004</v>
      </c>
      <c r="C30" s="118">
        <f>IF($A30="","",SUM('Situfin serie mensual'!IT28:IW28))</f>
        <v>273.54527436400002</v>
      </c>
      <c r="D30" s="118">
        <f t="shared" si="0"/>
        <v>26.86823198504975</v>
      </c>
      <c r="E30" s="224">
        <v>827.25190532999954</v>
      </c>
      <c r="F30" s="224">
        <f>IF($A30="","",'2'!N31)</f>
        <v>99.961141454999975</v>
      </c>
      <c r="G30" s="118">
        <f t="shared" si="1"/>
        <v>12.083519035852134</v>
      </c>
      <c r="H30" s="118">
        <f t="shared" si="2"/>
        <v>-63.457185766629578</v>
      </c>
      <c r="I30" s="115"/>
    </row>
    <row r="31" spans="1:11" s="119" customFormat="1" ht="12.75" customHeight="1" x14ac:dyDescent="0.2">
      <c r="A31" s="13" t="s">
        <v>21</v>
      </c>
      <c r="B31" s="118">
        <v>2283.5076185249995</v>
      </c>
      <c r="C31" s="118">
        <f>IF($A31="","",SUM('Situfin serie mensual'!IT29:IW29))</f>
        <v>915.98676855899998</v>
      </c>
      <c r="D31" s="118">
        <f t="shared" si="0"/>
        <v>40.113147034327348</v>
      </c>
      <c r="E31" s="224">
        <v>2506.2060940940005</v>
      </c>
      <c r="F31" s="224">
        <f>IF($A31="","",'2'!N32)</f>
        <v>672.84641692599996</v>
      </c>
      <c r="G31" s="118">
        <f t="shared" si="1"/>
        <v>26.847210152093879</v>
      </c>
      <c r="H31" s="118">
        <f t="shared" si="2"/>
        <v>-26.544089934344839</v>
      </c>
      <c r="I31" s="115"/>
    </row>
    <row r="32" spans="1:11" s="119" customFormat="1" ht="14.25" customHeight="1" x14ac:dyDescent="0.2">
      <c r="A32" s="171" t="s">
        <v>185</v>
      </c>
      <c r="B32" s="118">
        <v>357.71500100399999</v>
      </c>
      <c r="C32" s="118">
        <f>IF($A32="","",SUM('Situfin serie mensual'!IT30:IW30))</f>
        <v>319.94132986099999</v>
      </c>
      <c r="D32" s="118">
        <f t="shared" si="0"/>
        <v>89.44028876704067</v>
      </c>
      <c r="E32" s="224">
        <v>346.24133774699999</v>
      </c>
      <c r="F32" s="224">
        <f>IF($A32="","",'2'!N33)</f>
        <v>107.090904911</v>
      </c>
      <c r="G32" s="118">
        <f t="shared" si="1"/>
        <v>30.929554976838663</v>
      </c>
      <c r="H32" s="118">
        <f t="shared" si="2"/>
        <v>-66.527955310579557</v>
      </c>
      <c r="I32" s="115"/>
    </row>
    <row r="33" spans="1:13" s="119" customFormat="1" ht="14.25" customHeight="1" x14ac:dyDescent="0.2">
      <c r="A33" s="171" t="s">
        <v>23</v>
      </c>
      <c r="B33" s="118">
        <v>1925.792617521</v>
      </c>
      <c r="C33" s="118">
        <f>IF($A33="","",SUM('Situfin serie mensual'!IT31:IW31))</f>
        <v>596.045438698</v>
      </c>
      <c r="D33" s="118">
        <f t="shared" si="0"/>
        <v>30.950655500241076</v>
      </c>
      <c r="E33" s="224">
        <v>2159.9647563470003</v>
      </c>
      <c r="F33" s="224">
        <f>IF($A33="","",'2'!N34)</f>
        <v>565.75551201500002</v>
      </c>
      <c r="G33" s="118">
        <f t="shared" si="1"/>
        <v>26.192812190687008</v>
      </c>
      <c r="H33" s="118">
        <f t="shared" si="2"/>
        <v>-5.0818150289288724</v>
      </c>
      <c r="I33" s="115"/>
    </row>
    <row r="34" spans="1:13" s="119" customFormat="1" ht="12.75" customHeight="1" x14ac:dyDescent="0.2">
      <c r="A34" s="172" t="s">
        <v>17</v>
      </c>
      <c r="B34" s="118">
        <v>6487.5592208529988</v>
      </c>
      <c r="C34" s="118">
        <f>IF($A34="","",SUM('Situfin serie mensual'!IT32:IW32))</f>
        <v>121.759893269</v>
      </c>
      <c r="D34" s="118">
        <f t="shared" si="0"/>
        <v>1.8768212994129823</v>
      </c>
      <c r="E34" s="224">
        <v>7441.5346998609994</v>
      </c>
      <c r="F34" s="224">
        <f>IF($A34="","",'2'!N35)</f>
        <v>132.42768698399999</v>
      </c>
      <c r="G34" s="118">
        <f t="shared" si="1"/>
        <v>1.779574944217805</v>
      </c>
      <c r="H34" s="118">
        <f t="shared" si="2"/>
        <v>8.761336289472581</v>
      </c>
      <c r="I34" s="115"/>
    </row>
    <row r="35" spans="1:13" s="119" customFormat="1" ht="8.25" customHeight="1" x14ac:dyDescent="0.2">
      <c r="A35" s="13"/>
      <c r="B35" s="118"/>
      <c r="C35" s="118" t="str">
        <f>IF($A35="","",SUM('Situfin serie mensual'!IT33:IW33))</f>
        <v/>
      </c>
      <c r="D35" s="118"/>
      <c r="E35" s="224"/>
      <c r="F35" s="224" t="str">
        <f>IF($A35="","",'2'!N36)</f>
        <v/>
      </c>
      <c r="G35" s="118"/>
      <c r="H35" s="118"/>
      <c r="I35" s="115"/>
    </row>
    <row r="36" spans="1:13" s="10" customFormat="1" ht="12.75" x14ac:dyDescent="0.2">
      <c r="A36" s="113" t="s">
        <v>24</v>
      </c>
      <c r="B36" s="122">
        <v>56900.719482261004</v>
      </c>
      <c r="C36" s="122">
        <f>IF($A36="","",SUM('Situfin serie mensual'!IT34:IW34))</f>
        <v>15899.302351802002</v>
      </c>
      <c r="D36" s="122">
        <f t="shared" ref="D36:D71" si="3">IFERROR((C36/B36*100),0)</f>
        <v>27.942181569002241</v>
      </c>
      <c r="E36" s="226">
        <v>60404.578480451004</v>
      </c>
      <c r="F36" s="226">
        <f>IF($A36="","",'2'!N37)</f>
        <v>17097.166926234</v>
      </c>
      <c r="G36" s="122">
        <f t="shared" ref="G36:G71" si="4">IFERROR((F36/E36*100),0)</f>
        <v>28.304422208272229</v>
      </c>
      <c r="H36" s="122">
        <f t="shared" ref="H36:H71" si="5">IF(C36&lt;&gt;0,F36/C36*100-100," ")</f>
        <v>7.5340700360744677</v>
      </c>
      <c r="I36" s="115"/>
      <c r="M36" s="219"/>
    </row>
    <row r="37" spans="1:13" s="119" customFormat="1" ht="12.75" x14ac:dyDescent="0.2">
      <c r="A37" s="123" t="s">
        <v>25</v>
      </c>
      <c r="B37" s="124">
        <v>22932.200081858002</v>
      </c>
      <c r="C37" s="124">
        <f>IF($A37="","",SUM('Situfin serie mensual'!IT35:IW35))</f>
        <v>6614.8130605860006</v>
      </c>
      <c r="D37" s="124">
        <f t="shared" si="3"/>
        <v>28.845086982382799</v>
      </c>
      <c r="E37" s="226">
        <v>24814.965346193003</v>
      </c>
      <c r="F37" s="226">
        <f>IF($A37="","",'2'!N38)</f>
        <v>7127.8432016310007</v>
      </c>
      <c r="G37" s="124">
        <f t="shared" si="4"/>
        <v>28.723970000322897</v>
      </c>
      <c r="H37" s="124">
        <f t="shared" si="5"/>
        <v>7.7557768654395147</v>
      </c>
      <c r="I37" s="115"/>
    </row>
    <row r="38" spans="1:13" s="119" customFormat="1" ht="12.75" x14ac:dyDescent="0.2">
      <c r="A38" s="155" t="s">
        <v>26</v>
      </c>
      <c r="B38" s="116">
        <v>7456.7508315989999</v>
      </c>
      <c r="C38" s="116">
        <f>IF($A38="","",SUM('Situfin serie mensual'!IT36:IW36))</f>
        <v>2276.570273327</v>
      </c>
      <c r="D38" s="116">
        <f t="shared" si="3"/>
        <v>30.530325134101606</v>
      </c>
      <c r="E38" s="225">
        <v>7048.0561133680003</v>
      </c>
      <c r="F38" s="225">
        <f>IF($A38="","",'2'!N39)</f>
        <v>1998.319325549</v>
      </c>
      <c r="G38" s="116">
        <f t="shared" si="4"/>
        <v>28.352772642641156</v>
      </c>
      <c r="H38" s="116">
        <f t="shared" si="5"/>
        <v>-12.222374641278336</v>
      </c>
      <c r="I38" s="115"/>
    </row>
    <row r="39" spans="1:13" s="119" customFormat="1" ht="12.75" customHeight="1" x14ac:dyDescent="0.2">
      <c r="A39" s="31" t="s">
        <v>27</v>
      </c>
      <c r="B39" s="118">
        <v>2198.1863132059998</v>
      </c>
      <c r="C39" s="118">
        <f>IF($A39="","",SUM('Situfin serie mensual'!IT37:IW37))</f>
        <v>510.050895277</v>
      </c>
      <c r="D39" s="118">
        <f t="shared" si="3"/>
        <v>23.203260443065151</v>
      </c>
      <c r="E39" s="224">
        <v>2435.1089425549999</v>
      </c>
      <c r="F39" s="224">
        <f>IF($A39="","",'2'!N40)</f>
        <v>507.72709064100002</v>
      </c>
      <c r="G39" s="118">
        <f t="shared" si="4"/>
        <v>20.85028237415429</v>
      </c>
      <c r="H39" s="118">
        <f t="shared" si="5"/>
        <v>-0.4556025011460747</v>
      </c>
      <c r="I39" s="115"/>
    </row>
    <row r="40" spans="1:13" s="119" customFormat="1" ht="12.75" customHeight="1" x14ac:dyDescent="0.2">
      <c r="A40" s="31" t="s">
        <v>28</v>
      </c>
      <c r="B40" s="118">
        <v>5033.6125197179999</v>
      </c>
      <c r="C40" s="118">
        <f>IF($A40="","",SUM('Situfin serie mensual'!IT38:IW38))</f>
        <v>1639.2969056010002</v>
      </c>
      <c r="D40" s="118">
        <f t="shared" si="3"/>
        <v>32.567006283845608</v>
      </c>
      <c r="E40" s="224">
        <v>4403.0097362980005</v>
      </c>
      <c r="F40" s="224">
        <f>IF($A40="","",'2'!N41)</f>
        <v>1343.645964909</v>
      </c>
      <c r="G40" s="118">
        <f t="shared" si="4"/>
        <v>30.516534038798692</v>
      </c>
      <c r="H40" s="118">
        <f t="shared" si="5"/>
        <v>-18.035228376375684</v>
      </c>
      <c r="I40" s="115"/>
    </row>
    <row r="41" spans="1:13" s="119" customFormat="1" ht="12.75" customHeight="1" x14ac:dyDescent="0.2">
      <c r="A41" s="31" t="s">
        <v>29</v>
      </c>
      <c r="B41" s="118">
        <v>107.66421690200002</v>
      </c>
      <c r="C41" s="118">
        <f>IF($A41="","",SUM('Situfin serie mensual'!IT39:IW39))</f>
        <v>11.319760867999999</v>
      </c>
      <c r="D41" s="118">
        <f t="shared" si="3"/>
        <v>10.513949010843286</v>
      </c>
      <c r="E41" s="224">
        <v>76.045743000000002</v>
      </c>
      <c r="F41" s="224">
        <f>IF($A41="","",'2'!N42)</f>
        <v>14.342172403999999</v>
      </c>
      <c r="G41" s="118">
        <f t="shared" si="4"/>
        <v>18.859928035682415</v>
      </c>
      <c r="H41" s="118">
        <f t="shared" si="5"/>
        <v>26.700312588264126</v>
      </c>
      <c r="I41" s="115"/>
    </row>
    <row r="42" spans="1:13" s="119" customFormat="1" ht="12.75" customHeight="1" x14ac:dyDescent="0.2">
      <c r="A42" s="31" t="s">
        <v>30</v>
      </c>
      <c r="B42" s="118">
        <v>117.28778177300096</v>
      </c>
      <c r="C42" s="118">
        <f>IF($A42="","",SUM('Situfin serie mensual'!IT40:IW40))</f>
        <v>115.90271158100016</v>
      </c>
      <c r="D42" s="118">
        <f t="shared" si="3"/>
        <v>98.819083990622772</v>
      </c>
      <c r="E42" s="224">
        <v>133.89169151499959</v>
      </c>
      <c r="F42" s="224">
        <f>IF($A42="","",'2'!N43)</f>
        <v>132.60409759499993</v>
      </c>
      <c r="G42" s="118">
        <f t="shared" si="4"/>
        <v>99.038331725120216</v>
      </c>
      <c r="H42" s="118">
        <f t="shared" si="5"/>
        <v>14.409831992867382</v>
      </c>
      <c r="I42" s="115"/>
    </row>
    <row r="43" spans="1:13" s="119" customFormat="1" ht="12.75" x14ac:dyDescent="0.2">
      <c r="A43" s="155" t="s">
        <v>31</v>
      </c>
      <c r="B43" s="116">
        <v>6925.8393448570005</v>
      </c>
      <c r="C43" s="116">
        <f>IF($A43="","",SUM('Situfin serie mensual'!IT41:IW41))</f>
        <v>1983.9199207250001</v>
      </c>
      <c r="D43" s="116">
        <f t="shared" si="3"/>
        <v>28.645191173806566</v>
      </c>
      <c r="E43" s="225">
        <v>8020.7821545570005</v>
      </c>
      <c r="F43" s="225">
        <f>IF($A43="","",'2'!N44)</f>
        <v>2317.1339911170003</v>
      </c>
      <c r="G43" s="116">
        <f>IFERROR((F43/E43*100),0)</f>
        <v>28.889127599613495</v>
      </c>
      <c r="H43" s="116">
        <f t="shared" si="5"/>
        <v>16.795741950624262</v>
      </c>
      <c r="I43" s="115"/>
    </row>
    <row r="44" spans="1:13" s="119" customFormat="1" ht="12.75" customHeight="1" x14ac:dyDescent="0.2">
      <c r="A44" s="31" t="s">
        <v>32</v>
      </c>
      <c r="B44" s="118">
        <v>6241.2974813000001</v>
      </c>
      <c r="C44" s="118">
        <f>IF($A44="","",SUM('Situfin serie mensual'!IT42:IW42))</f>
        <v>1768.9057660089998</v>
      </c>
      <c r="D44" s="118">
        <f t="shared" si="3"/>
        <v>28.341955680032004</v>
      </c>
      <c r="E44" s="224">
        <v>7130.9297410000008</v>
      </c>
      <c r="F44" s="224">
        <f>IF($A44="","",'2'!N45)</f>
        <v>2065.616198062</v>
      </c>
      <c r="G44" s="118">
        <f t="shared" si="4"/>
        <v>28.966996914659404</v>
      </c>
      <c r="H44" s="118">
        <f t="shared" si="5"/>
        <v>16.773670918741885</v>
      </c>
      <c r="I44" s="115"/>
    </row>
    <row r="45" spans="1:13" s="119" customFormat="1" ht="12.75" customHeight="1" x14ac:dyDescent="0.2">
      <c r="A45" s="31" t="s">
        <v>33</v>
      </c>
      <c r="B45" s="118">
        <v>684.54186355699994</v>
      </c>
      <c r="C45" s="118">
        <f>IF($A45="","",SUM('Situfin serie mensual'!IT43:IW43))</f>
        <v>215.01415471600001</v>
      </c>
      <c r="D45" s="118">
        <f t="shared" si="3"/>
        <v>31.409935047470821</v>
      </c>
      <c r="E45" s="224">
        <v>889.85241355699998</v>
      </c>
      <c r="F45" s="224">
        <f>IF($A45="","",'2'!N46)</f>
        <v>251.51779305500003</v>
      </c>
      <c r="G45" s="118">
        <f t="shared" si="4"/>
        <v>28.265113318017534</v>
      </c>
      <c r="H45" s="118">
        <f t="shared" si="5"/>
        <v>16.97731871988411</v>
      </c>
      <c r="I45" s="115"/>
    </row>
    <row r="46" spans="1:13" s="119" customFormat="1" ht="12.75" customHeight="1" x14ac:dyDescent="0.2">
      <c r="A46" s="13" t="s">
        <v>34</v>
      </c>
      <c r="B46" s="118">
        <v>0</v>
      </c>
      <c r="C46" s="118">
        <f>IF($A46="","",SUM('Situfin serie mensual'!IT44:IW44))</f>
        <v>0</v>
      </c>
      <c r="D46" s="118">
        <f t="shared" si="3"/>
        <v>0</v>
      </c>
      <c r="E46" s="224">
        <v>0</v>
      </c>
      <c r="F46" s="224">
        <f>IF($A46="","",'2'!N47)</f>
        <v>0</v>
      </c>
      <c r="G46" s="118">
        <f t="shared" si="4"/>
        <v>0</v>
      </c>
      <c r="H46" s="118" t="str">
        <f t="shared" si="5"/>
        <v xml:space="preserve"> </v>
      </c>
      <c r="I46" s="115"/>
    </row>
    <row r="47" spans="1:13" s="119" customFormat="1" ht="12.75" x14ac:dyDescent="0.2">
      <c r="A47" s="155" t="s">
        <v>11</v>
      </c>
      <c r="B47" s="116">
        <v>6398.145534884</v>
      </c>
      <c r="C47" s="116">
        <f>IF($A47="","",SUM('Situfin serie mensual'!IT45:IW45))</f>
        <v>1626.4445473119999</v>
      </c>
      <c r="D47" s="116">
        <f t="shared" si="3"/>
        <v>25.420561918204125</v>
      </c>
      <c r="E47" s="225">
        <v>7867.0529032839995</v>
      </c>
      <c r="F47" s="225">
        <f>IF($A47="","",'2'!N48)</f>
        <v>1844.0390065999998</v>
      </c>
      <c r="G47" s="116">
        <f t="shared" si="4"/>
        <v>23.440022957392717</v>
      </c>
      <c r="H47" s="116">
        <f t="shared" si="5"/>
        <v>13.378535385520209</v>
      </c>
      <c r="I47" s="115"/>
    </row>
    <row r="48" spans="1:13" s="119" customFormat="1" ht="12.75" customHeight="1" x14ac:dyDescent="0.2">
      <c r="A48" s="13" t="s">
        <v>172</v>
      </c>
      <c r="B48" s="118">
        <v>0</v>
      </c>
      <c r="C48" s="118">
        <f>IF($A48="","",SUM('Situfin serie mensual'!IT46:IW46))</f>
        <v>0</v>
      </c>
      <c r="D48" s="118">
        <f t="shared" si="3"/>
        <v>0</v>
      </c>
      <c r="E48" s="224">
        <v>0</v>
      </c>
      <c r="F48" s="224">
        <f>IF($A48="","",'2'!N49)</f>
        <v>0</v>
      </c>
      <c r="G48" s="118">
        <f t="shared" si="4"/>
        <v>0</v>
      </c>
      <c r="H48" s="118" t="str">
        <f t="shared" si="5"/>
        <v xml:space="preserve"> </v>
      </c>
      <c r="I48" s="115"/>
    </row>
    <row r="49" spans="1:9" s="119" customFormat="1" ht="12.75" customHeight="1" x14ac:dyDescent="0.2">
      <c r="A49" s="13" t="s">
        <v>13</v>
      </c>
      <c r="B49" s="118">
        <v>0</v>
      </c>
      <c r="C49" s="118">
        <f>IF($A49="","",SUM('Situfin serie mensual'!IT47:IW47))</f>
        <v>0</v>
      </c>
      <c r="D49" s="118">
        <f t="shared" si="3"/>
        <v>0</v>
      </c>
      <c r="E49" s="224">
        <v>0</v>
      </c>
      <c r="F49" s="224">
        <f>IF($A49="","",'2'!N50)</f>
        <v>0</v>
      </c>
      <c r="G49" s="118">
        <f t="shared" si="4"/>
        <v>0</v>
      </c>
      <c r="H49" s="118" t="str">
        <f t="shared" si="5"/>
        <v xml:space="preserve"> </v>
      </c>
      <c r="I49" s="115"/>
    </row>
    <row r="50" spans="1:9" s="119" customFormat="1" ht="12.75" customHeight="1" x14ac:dyDescent="0.2">
      <c r="A50" s="13" t="s">
        <v>14</v>
      </c>
      <c r="B50" s="118">
        <v>0</v>
      </c>
      <c r="C50" s="118">
        <f>IF($A50="","",SUM('Situfin serie mensual'!IT48:IW48))</f>
        <v>0</v>
      </c>
      <c r="D50" s="118">
        <f t="shared" si="3"/>
        <v>0</v>
      </c>
      <c r="E50" s="224">
        <v>0</v>
      </c>
      <c r="F50" s="224">
        <f>IF($A50="","",'2'!N51)</f>
        <v>0</v>
      </c>
      <c r="G50" s="118">
        <f t="shared" si="4"/>
        <v>0</v>
      </c>
      <c r="H50" s="118" t="str">
        <f t="shared" si="5"/>
        <v xml:space="preserve"> </v>
      </c>
      <c r="I50" s="115"/>
    </row>
    <row r="51" spans="1:9" s="119" customFormat="1" ht="12.75" customHeight="1" x14ac:dyDescent="0.2">
      <c r="A51" s="13" t="s">
        <v>153</v>
      </c>
      <c r="B51" s="118">
        <v>62.247651552000001</v>
      </c>
      <c r="C51" s="118">
        <f>IF($A51="","",SUM('Situfin serie mensual'!IT49:IW49))</f>
        <v>11.367349688000001</v>
      </c>
      <c r="D51" s="118">
        <f t="shared" si="3"/>
        <v>18.261491646000533</v>
      </c>
      <c r="E51" s="224">
        <v>86.075780248000015</v>
      </c>
      <c r="F51" s="224">
        <f>IF($A51="","",'2'!N52)</f>
        <v>8.4382894939999993</v>
      </c>
      <c r="G51" s="118">
        <f t="shared" si="4"/>
        <v>9.8033261733878554</v>
      </c>
      <c r="H51" s="118">
        <f t="shared" si="5"/>
        <v>-25.767309657871067</v>
      </c>
      <c r="I51" s="115"/>
    </row>
    <row r="52" spans="1:9" s="119" customFormat="1" ht="12.75" customHeight="1" x14ac:dyDescent="0.2">
      <c r="A52" s="13" t="s">
        <v>13</v>
      </c>
      <c r="B52" s="118">
        <v>62.247651552000001</v>
      </c>
      <c r="C52" s="118">
        <f>IF($A52="","",SUM('Situfin serie mensual'!IT50:IW50))</f>
        <v>11.367349688000001</v>
      </c>
      <c r="D52" s="118">
        <f t="shared" si="3"/>
        <v>18.261491646000533</v>
      </c>
      <c r="E52" s="224">
        <v>86.075780248000015</v>
      </c>
      <c r="F52" s="224">
        <f>IF($A52="","",'2'!N53)</f>
        <v>8.4382894939999993</v>
      </c>
      <c r="G52" s="118">
        <f t="shared" si="4"/>
        <v>9.8033261733878554</v>
      </c>
      <c r="H52" s="118">
        <f t="shared" si="5"/>
        <v>-25.767309657871067</v>
      </c>
      <c r="I52" s="115"/>
    </row>
    <row r="53" spans="1:9" s="119" customFormat="1" ht="12.75" customHeight="1" x14ac:dyDescent="0.2">
      <c r="A53" s="13" t="s">
        <v>14</v>
      </c>
      <c r="B53" s="118">
        <v>0</v>
      </c>
      <c r="C53" s="118">
        <f>IF($A53="","",SUM('Situfin serie mensual'!IT51:IW51))</f>
        <v>0</v>
      </c>
      <c r="D53" s="118">
        <f t="shared" si="3"/>
        <v>0</v>
      </c>
      <c r="E53" s="224">
        <v>0</v>
      </c>
      <c r="F53" s="224">
        <f>IF($A53="","",'2'!N54)</f>
        <v>0</v>
      </c>
      <c r="G53" s="118">
        <f t="shared" si="4"/>
        <v>0</v>
      </c>
      <c r="H53" s="118" t="str">
        <f t="shared" si="5"/>
        <v xml:space="preserve"> </v>
      </c>
      <c r="I53" s="115"/>
    </row>
    <row r="54" spans="1:9" s="119" customFormat="1" ht="12.75" customHeight="1" x14ac:dyDescent="0.2">
      <c r="A54" s="13" t="s">
        <v>154</v>
      </c>
      <c r="B54" s="118">
        <v>6335.8978833319998</v>
      </c>
      <c r="C54" s="118">
        <f>IF($A54="","",SUM('Situfin serie mensual'!IT52:IW52))</f>
        <v>1615.0771976239998</v>
      </c>
      <c r="D54" s="118">
        <f t="shared" si="3"/>
        <v>25.490896907805645</v>
      </c>
      <c r="E54" s="224">
        <v>7780.9771230359993</v>
      </c>
      <c r="F54" s="224">
        <f>IF($A54="","",'2'!N55)</f>
        <v>1835.6007171059998</v>
      </c>
      <c r="G54" s="118">
        <f t="shared" si="4"/>
        <v>23.590876673722708</v>
      </c>
      <c r="H54" s="118">
        <f t="shared" si="5"/>
        <v>13.654054419591844</v>
      </c>
      <c r="I54" s="115"/>
    </row>
    <row r="55" spans="1:9" s="119" customFormat="1" ht="12.75" customHeight="1" x14ac:dyDescent="0.2">
      <c r="A55" s="13" t="s">
        <v>13</v>
      </c>
      <c r="B55" s="118">
        <v>4220.0837863400002</v>
      </c>
      <c r="C55" s="118">
        <f>IF($A55="","",SUM('Situfin serie mensual'!IT53:IW53))</f>
        <v>1135.74049029</v>
      </c>
      <c r="D55" s="118">
        <f t="shared" si="3"/>
        <v>26.91274741905081</v>
      </c>
      <c r="E55" s="224">
        <v>5687.3286110229992</v>
      </c>
      <c r="F55" s="224">
        <f>IF($A55="","",'2'!N56)</f>
        <v>1252.7128150259998</v>
      </c>
      <c r="G55" s="118">
        <f t="shared" si="4"/>
        <v>22.026383574847983</v>
      </c>
      <c r="H55" s="118">
        <f t="shared" si="5"/>
        <v>10.299212340851909</v>
      </c>
      <c r="I55" s="115"/>
    </row>
    <row r="56" spans="1:9" s="119" customFormat="1" ht="12.75" customHeight="1" x14ac:dyDescent="0.2">
      <c r="A56" s="13" t="s">
        <v>14</v>
      </c>
      <c r="B56" s="118">
        <v>2115.814096992</v>
      </c>
      <c r="C56" s="118">
        <f>IF($A56="","",SUM('Situfin serie mensual'!IT54:IW54))</f>
        <v>479.33670733399998</v>
      </c>
      <c r="D56" s="118">
        <f t="shared" si="3"/>
        <v>22.654953855135997</v>
      </c>
      <c r="E56" s="224">
        <v>2093.6485120130001</v>
      </c>
      <c r="F56" s="224">
        <f>IF($A56="","",'2'!N57)</f>
        <v>582.88790208</v>
      </c>
      <c r="G56" s="118">
        <f t="shared" si="4"/>
        <v>27.840771683283421</v>
      </c>
      <c r="H56" s="118">
        <f t="shared" si="5"/>
        <v>21.6030179123849</v>
      </c>
      <c r="I56" s="115"/>
    </row>
    <row r="57" spans="1:9" s="119" customFormat="1" ht="12.75" x14ac:dyDescent="0.2">
      <c r="A57" s="155" t="s">
        <v>35</v>
      </c>
      <c r="B57" s="116">
        <v>10368.065129823999</v>
      </c>
      <c r="C57" s="116">
        <f>IF($A57="","",SUM('Situfin serie mensual'!IT55:IW55))</f>
        <v>2943.4990035119995</v>
      </c>
      <c r="D57" s="116">
        <f t="shared" si="3"/>
        <v>28.390051245385706</v>
      </c>
      <c r="E57" s="225">
        <v>10529.42066353</v>
      </c>
      <c r="F57" s="225">
        <f>IF($A57="","",'2'!N58)</f>
        <v>3355.5823372980003</v>
      </c>
      <c r="G57" s="116">
        <f t="shared" si="4"/>
        <v>31.868632135863756</v>
      </c>
      <c r="H57" s="116">
        <f t="shared" si="5"/>
        <v>13.999778267100766</v>
      </c>
      <c r="I57" s="115"/>
    </row>
    <row r="58" spans="1:9" s="119" customFormat="1" ht="12.75" x14ac:dyDescent="0.2">
      <c r="A58" s="31" t="s">
        <v>36</v>
      </c>
      <c r="B58" s="118">
        <v>5680.2180528759991</v>
      </c>
      <c r="C58" s="118">
        <f>IF($A58="","",SUM('Situfin serie mensual'!IT56:IW56))</f>
        <v>1737.38126627</v>
      </c>
      <c r="D58" s="118">
        <f t="shared" si="3"/>
        <v>30.586524145676623</v>
      </c>
      <c r="E58" s="224">
        <v>5139.8697208600006</v>
      </c>
      <c r="F58" s="224">
        <f>IF($A58="","",'2'!N59)</f>
        <v>1916.091767789</v>
      </c>
      <c r="G58" s="118">
        <f t="shared" si="4"/>
        <v>37.278994835464438</v>
      </c>
      <c r="H58" s="118">
        <f t="shared" si="5"/>
        <v>10.286199407610468</v>
      </c>
      <c r="I58" s="115"/>
    </row>
    <row r="59" spans="1:9" s="119" customFormat="1" ht="12.75" x14ac:dyDescent="0.2">
      <c r="A59" s="31" t="s">
        <v>37</v>
      </c>
      <c r="B59" s="118">
        <v>4319.8700078239999</v>
      </c>
      <c r="C59" s="118">
        <f>IF($A59="","",SUM('Situfin serie mensual'!IT57:IW57))</f>
        <v>1086.053720565</v>
      </c>
      <c r="D59" s="118">
        <f t="shared" si="3"/>
        <v>25.140888929481143</v>
      </c>
      <c r="E59" s="224">
        <v>5024.4223572319997</v>
      </c>
      <c r="F59" s="224">
        <f>IF($A59="","",'2'!N60)</f>
        <v>1311.2153267369999</v>
      </c>
      <c r="G59" s="118">
        <f t="shared" si="4"/>
        <v>26.096837278213219</v>
      </c>
      <c r="H59" s="118">
        <f t="shared" si="5"/>
        <v>20.732087364413559</v>
      </c>
      <c r="I59" s="115"/>
    </row>
    <row r="60" spans="1:9" s="119" customFormat="1" ht="12.75" x14ac:dyDescent="0.2">
      <c r="A60" s="31" t="s">
        <v>38</v>
      </c>
      <c r="B60" s="118">
        <v>367.97706912399997</v>
      </c>
      <c r="C60" s="118">
        <f>IF($A60="","",SUM('Situfin serie mensual'!IT58:IW58))</f>
        <v>120.06401667700001</v>
      </c>
      <c r="D60" s="118">
        <f t="shared" si="3"/>
        <v>32.628124617336177</v>
      </c>
      <c r="E60" s="118">
        <v>365.12858543800002</v>
      </c>
      <c r="F60" s="224">
        <f>IF($A60="","",'2'!N61)</f>
        <v>128.27524277199998</v>
      </c>
      <c r="G60" s="118">
        <f t="shared" si="4"/>
        <v>35.131525683787231</v>
      </c>
      <c r="H60" s="118">
        <f t="shared" si="5"/>
        <v>6.8390399740582382</v>
      </c>
      <c r="I60" s="115"/>
    </row>
    <row r="61" spans="1:9" s="119" customFormat="1" ht="12.75" x14ac:dyDescent="0.2">
      <c r="A61" s="155" t="s">
        <v>39</v>
      </c>
      <c r="B61" s="116">
        <v>2819.7185592390001</v>
      </c>
      <c r="C61" s="116">
        <f>IF($A61="","",SUM('Situfin serie mensual'!IT59:IW59))</f>
        <v>454.05554633999998</v>
      </c>
      <c r="D61" s="116">
        <f t="shared" si="3"/>
        <v>16.102867601883741</v>
      </c>
      <c r="E61" s="225">
        <v>2124.3012995190002</v>
      </c>
      <c r="F61" s="225">
        <f>IF($A61="","",'2'!N62)</f>
        <v>454.24906403900002</v>
      </c>
      <c r="G61" s="116">
        <f t="shared" si="4"/>
        <v>21.383457428654516</v>
      </c>
      <c r="H61" s="116">
        <f t="shared" si="5"/>
        <v>4.2619829349050065E-2</v>
      </c>
      <c r="I61" s="115"/>
    </row>
    <row r="62" spans="1:9" s="119" customFormat="1" ht="12.75" customHeight="1" x14ac:dyDescent="0.2">
      <c r="A62" s="13" t="s">
        <v>40</v>
      </c>
      <c r="B62" s="118">
        <v>965.24095328800001</v>
      </c>
      <c r="C62" s="118">
        <f>IF($A62="","",SUM('Situfin serie mensual'!IT60:IW60))</f>
        <v>159.31111792300001</v>
      </c>
      <c r="D62" s="118">
        <f t="shared" si="3"/>
        <v>16.504803011136453</v>
      </c>
      <c r="E62" s="224">
        <v>750.33937993300003</v>
      </c>
      <c r="F62" s="224">
        <f>IF($A62="","",'2'!N63)</f>
        <v>163.96585298400001</v>
      </c>
      <c r="G62" s="118">
        <f t="shared" si="4"/>
        <v>21.852225455452036</v>
      </c>
      <c r="H62" s="118">
        <f t="shared" si="5"/>
        <v>2.9217892145165791</v>
      </c>
      <c r="I62" s="115"/>
    </row>
    <row r="63" spans="1:9" s="119" customFormat="1" ht="25.5" hidden="1" customHeight="1" x14ac:dyDescent="0.2">
      <c r="A63" s="33" t="s">
        <v>41</v>
      </c>
      <c r="B63" s="118">
        <v>214.413607748</v>
      </c>
      <c r="C63" s="118">
        <f>IF($A63="","",SUM('Situfin serie mensual'!IT61:IW61))</f>
        <v>25.164936932</v>
      </c>
      <c r="D63" s="118">
        <f t="shared" si="3"/>
        <v>11.736632388358631</v>
      </c>
      <c r="E63" s="224">
        <v>235.24014622200002</v>
      </c>
      <c r="F63" s="224">
        <f>IF($A63="","",'2'!N64)</f>
        <v>72.611214697999998</v>
      </c>
      <c r="G63" s="118">
        <f t="shared" si="4"/>
        <v>30.866846439329958</v>
      </c>
      <c r="H63" s="118">
        <f t="shared" si="5"/>
        <v>188.54121468378014</v>
      </c>
      <c r="I63" s="115"/>
    </row>
    <row r="64" spans="1:9" s="119" customFormat="1" ht="12.75" hidden="1" customHeight="1" x14ac:dyDescent="0.2">
      <c r="A64" s="33" t="s">
        <v>42</v>
      </c>
      <c r="B64" s="118">
        <v>293.94135145200005</v>
      </c>
      <c r="C64" s="118">
        <f>IF($A64="","",SUM('Situfin serie mensual'!IT62:IW62))</f>
        <v>40.984228819999998</v>
      </c>
      <c r="D64" s="118">
        <f t="shared" si="3"/>
        <v>13.94299530077946</v>
      </c>
      <c r="E64" s="224">
        <v>282.17819557600001</v>
      </c>
      <c r="F64" s="224">
        <f>IF($A64="","",'2'!N65)</f>
        <v>29.733933323000002</v>
      </c>
      <c r="G64" s="118">
        <f t="shared" si="4"/>
        <v>10.537289482025788</v>
      </c>
      <c r="H64" s="118">
        <f t="shared" si="5"/>
        <v>-27.450304229001219</v>
      </c>
      <c r="I64" s="115"/>
    </row>
    <row r="65" spans="1:12" s="119" customFormat="1" ht="25.5" hidden="1" customHeight="1" x14ac:dyDescent="0.2">
      <c r="A65" s="33" t="s">
        <v>43</v>
      </c>
      <c r="B65" s="118">
        <v>35.384291093000002</v>
      </c>
      <c r="C65" s="118">
        <f>IF($A65="","",SUM('Situfin serie mensual'!IT63:IW63))</f>
        <v>2.0765364739999996</v>
      </c>
      <c r="D65" s="118">
        <f t="shared" si="3"/>
        <v>5.8685264275671649</v>
      </c>
      <c r="E65" s="224">
        <v>56.234325650000002</v>
      </c>
      <c r="F65" s="224">
        <f>IF($A65="","",'2'!N66)</f>
        <v>7.0915058309999992</v>
      </c>
      <c r="G65" s="118">
        <f t="shared" si="4"/>
        <v>12.610635495368475</v>
      </c>
      <c r="H65" s="118">
        <f t="shared" si="5"/>
        <v>241.50644208718097</v>
      </c>
      <c r="I65" s="115"/>
    </row>
    <row r="66" spans="1:12" s="119" customFormat="1" ht="12.75" hidden="1" customHeight="1" x14ac:dyDescent="0.2">
      <c r="A66" s="13" t="s">
        <v>44</v>
      </c>
      <c r="B66" s="118">
        <v>385.69781006799997</v>
      </c>
      <c r="C66" s="118">
        <f>IF($A66="","",SUM('Situfin serie mensual'!IT64:IW64))</f>
        <v>78.132645048000001</v>
      </c>
      <c r="D66" s="118">
        <f t="shared" si="3"/>
        <v>20.257476969917178</v>
      </c>
      <c r="E66" s="224">
        <v>141.66781965799998</v>
      </c>
      <c r="F66" s="224">
        <f>IF($A66="","",'2'!N67)</f>
        <v>42.268416623999997</v>
      </c>
      <c r="G66" s="118">
        <f t="shared" si="4"/>
        <v>29.836286551201326</v>
      </c>
      <c r="H66" s="118">
        <f t="shared" si="5"/>
        <v>-45.901720595747378</v>
      </c>
      <c r="I66" s="115"/>
    </row>
    <row r="67" spans="1:12" s="119" customFormat="1" ht="12.75" hidden="1" customHeight="1" x14ac:dyDescent="0.2">
      <c r="A67" s="13" t="s">
        <v>45</v>
      </c>
      <c r="B67" s="118">
        <v>35.803892927</v>
      </c>
      <c r="C67" s="118">
        <f>IF($A67="","",SUM('Situfin serie mensual'!IT65:IW65))</f>
        <v>12.952770649000001</v>
      </c>
      <c r="D67" s="118">
        <f t="shared" si="3"/>
        <v>36.176989679332365</v>
      </c>
      <c r="E67" s="224">
        <v>35.018892827000002</v>
      </c>
      <c r="F67" s="224">
        <f>IF($A67="","",'2'!N68)</f>
        <v>12.260782508</v>
      </c>
      <c r="G67" s="118">
        <f t="shared" si="4"/>
        <v>35.011907910882847</v>
      </c>
      <c r="H67" s="118">
        <f t="shared" si="5"/>
        <v>-5.3423947644238154</v>
      </c>
      <c r="I67" s="115"/>
    </row>
    <row r="68" spans="1:12" s="119" customFormat="1" ht="12.75" customHeight="1" x14ac:dyDescent="0.2">
      <c r="A68" s="13" t="s">
        <v>173</v>
      </c>
      <c r="B68" s="118">
        <v>1854.477605951</v>
      </c>
      <c r="C68" s="118">
        <f>IF($A68="","",SUM('Situfin serie mensual'!IT66:IW66))</f>
        <v>294.74442841699999</v>
      </c>
      <c r="D68" s="118">
        <f t="shared" si="3"/>
        <v>15.893663394541303</v>
      </c>
      <c r="E68" s="224">
        <v>1373.961919586</v>
      </c>
      <c r="F68" s="224">
        <f>IF($A68="","",'2'!N69)</f>
        <v>290.28321105499998</v>
      </c>
      <c r="G68" s="118">
        <f t="shared" si="4"/>
        <v>21.127456803349226</v>
      </c>
      <c r="H68" s="118">
        <f t="shared" si="5"/>
        <v>-1.5135883605875478</v>
      </c>
      <c r="I68" s="115"/>
    </row>
    <row r="69" spans="1:12" s="119" customFormat="1" ht="12.75" hidden="1" customHeight="1" x14ac:dyDescent="0.2">
      <c r="A69" s="13" t="s">
        <v>47</v>
      </c>
      <c r="B69" s="118">
        <v>1185.0696556869998</v>
      </c>
      <c r="C69" s="118">
        <f>IF($A69="","",SUM('Situfin serie mensual'!IT67:IW67))</f>
        <v>294.74442841699999</v>
      </c>
      <c r="D69" s="118">
        <f t="shared" si="3"/>
        <v>24.871485570705374</v>
      </c>
      <c r="E69" s="224">
        <v>889.76748058500004</v>
      </c>
      <c r="F69" s="224">
        <f>IF($A69="","",'2'!N70)</f>
        <v>290.28321105499998</v>
      </c>
      <c r="G69" s="118">
        <f t="shared" si="4"/>
        <v>32.624614563812329</v>
      </c>
      <c r="H69" s="118">
        <f t="shared" si="5"/>
        <v>-1.5135883605875478</v>
      </c>
      <c r="I69" s="115"/>
    </row>
    <row r="70" spans="1:12" s="119" customFormat="1" ht="12.75" hidden="1" customHeight="1" x14ac:dyDescent="0.2">
      <c r="A70" s="13" t="s">
        <v>48</v>
      </c>
      <c r="B70" s="118">
        <v>0</v>
      </c>
      <c r="C70" s="118">
        <f>IF($A70="","",SUM('Situfin serie mensual'!IT68:IW68))</f>
        <v>0</v>
      </c>
      <c r="D70" s="118">
        <f t="shared" si="3"/>
        <v>0</v>
      </c>
      <c r="E70" s="224">
        <v>0</v>
      </c>
      <c r="F70" s="224">
        <f>IF($A70="","",'2'!N71)</f>
        <v>0</v>
      </c>
      <c r="G70" s="118">
        <f t="shared" si="4"/>
        <v>0</v>
      </c>
      <c r="H70" s="118" t="str">
        <f t="shared" si="5"/>
        <v xml:space="preserve"> </v>
      </c>
      <c r="I70" s="115"/>
    </row>
    <row r="71" spans="1:12" s="119" customFormat="1" ht="12.75" hidden="1" customHeight="1" x14ac:dyDescent="0.2">
      <c r="A71" s="13" t="s">
        <v>49</v>
      </c>
      <c r="B71" s="118">
        <v>669.40795026399996</v>
      </c>
      <c r="C71" s="118">
        <f>IF($A71="","",SUM('Situfin serie mensual'!IT69:IW69))</f>
        <v>0</v>
      </c>
      <c r="D71" s="118">
        <f t="shared" si="3"/>
        <v>0</v>
      </c>
      <c r="E71" s="224">
        <v>484.19443900100003</v>
      </c>
      <c r="F71" s="224">
        <f>IF($A71="","",'2'!N72)</f>
        <v>0</v>
      </c>
      <c r="G71" s="118">
        <f t="shared" si="4"/>
        <v>0</v>
      </c>
      <c r="H71" s="118" t="str">
        <f t="shared" si="5"/>
        <v xml:space="preserve"> </v>
      </c>
      <c r="I71" s="115"/>
    </row>
    <row r="72" spans="1:12" s="119" customFormat="1" ht="12.75" x14ac:dyDescent="0.2">
      <c r="A72" s="13"/>
      <c r="B72" s="118"/>
      <c r="C72" s="118" t="str">
        <f>IF($A72="","",SUM('Situfin serie mensual'!IT70:IW70))</f>
        <v/>
      </c>
      <c r="D72" s="118"/>
      <c r="E72" s="224"/>
      <c r="F72" s="224" t="str">
        <f>IF($A72="","",'2'!N73)</f>
        <v/>
      </c>
      <c r="G72" s="118"/>
      <c r="H72" s="118"/>
      <c r="I72" s="115"/>
    </row>
    <row r="73" spans="1:12" s="119" customFormat="1" ht="13.5" x14ac:dyDescent="0.25">
      <c r="A73" s="125" t="s">
        <v>50</v>
      </c>
      <c r="B73" s="126">
        <v>-2175.4635110439995</v>
      </c>
      <c r="C73" s="126">
        <f>IF($A73="","",SUM('Situfin serie mensual'!IT71:IW71))</f>
        <v>-165.424274306999</v>
      </c>
      <c r="D73" s="199"/>
      <c r="E73" s="227">
        <v>1229.4358908509894</v>
      </c>
      <c r="F73" s="227">
        <f>IF($A73="","",'2'!N74)</f>
        <v>107.6016395759998</v>
      </c>
      <c r="G73" s="199"/>
      <c r="H73" s="199"/>
      <c r="I73" s="115"/>
      <c r="L73" s="215"/>
    </row>
    <row r="74" spans="1:12" s="119" customFormat="1" ht="7.5" customHeight="1" x14ac:dyDescent="0.2">
      <c r="A74" s="113"/>
      <c r="B74" s="116"/>
      <c r="C74" s="116" t="str">
        <f>IF($A74="","",SUM('Situfin serie mensual'!IT72:IW72))</f>
        <v/>
      </c>
      <c r="D74" s="122"/>
      <c r="E74" s="225"/>
      <c r="F74" s="225" t="str">
        <f>IF($A74="","",'2'!N75)</f>
        <v/>
      </c>
      <c r="G74" s="122"/>
      <c r="H74" s="122"/>
      <c r="I74" s="115"/>
    </row>
    <row r="75" spans="1:12" s="10" customFormat="1" ht="6.75" customHeight="1" x14ac:dyDescent="0.2">
      <c r="A75" s="113"/>
      <c r="B75" s="122"/>
      <c r="C75" s="122" t="str">
        <f>IF($A75="","",SUM('Situfin serie mensual'!IT73:IW73))</f>
        <v/>
      </c>
      <c r="D75" s="122"/>
      <c r="E75" s="226"/>
      <c r="F75" s="226" t="str">
        <f>IF($A75="","",'2'!N76)</f>
        <v/>
      </c>
      <c r="G75" s="122"/>
      <c r="H75" s="122"/>
      <c r="I75" s="115"/>
    </row>
    <row r="76" spans="1:12" s="16" customFormat="1" ht="12.75" outlineLevel="2" x14ac:dyDescent="0.2">
      <c r="A76" s="10" t="s">
        <v>51</v>
      </c>
      <c r="B76" s="116">
        <v>9396.0550945340001</v>
      </c>
      <c r="C76" s="116">
        <f>IF($A76="","",SUM('Situfin serie mensual'!IT74:IW74))</f>
        <v>1303.7383338670002</v>
      </c>
      <c r="D76" s="116">
        <f>IFERROR((C76/B76*100),0)</f>
        <v>13.875379834941883</v>
      </c>
      <c r="E76" s="225">
        <v>9125.4875725009988</v>
      </c>
      <c r="F76" s="225">
        <f>IF($A76="","",'2'!N77)</f>
        <v>2072.722850911</v>
      </c>
      <c r="G76" s="116">
        <f>IFERROR((F76/E76*100),0)</f>
        <v>22.713557324399865</v>
      </c>
      <c r="H76" s="116">
        <f>IF(C76&lt;&gt;0,F76/C76*100-100," ")</f>
        <v>58.98304108026997</v>
      </c>
      <c r="I76" s="115"/>
      <c r="J76" s="127"/>
      <c r="K76" s="128"/>
    </row>
    <row r="77" spans="1:12" s="119" customFormat="1" ht="12.75" x14ac:dyDescent="0.2">
      <c r="A77" s="13" t="s">
        <v>52</v>
      </c>
      <c r="B77" s="118">
        <v>9156.2501179139999</v>
      </c>
      <c r="C77" s="118">
        <f>IF($A77="","",SUM('Situfin serie mensual'!IT75:IW75))</f>
        <v>1214.7472374200001</v>
      </c>
      <c r="D77" s="118">
        <f>IFERROR((C77/B77*100),0)</f>
        <v>13.266863855579636</v>
      </c>
      <c r="E77" s="224">
        <v>8982.3384338479991</v>
      </c>
      <c r="F77" s="224">
        <f>IF($A77="","",'2'!N78)</f>
        <v>2048.2524335130001</v>
      </c>
      <c r="G77" s="118">
        <f>IFERROR((F77/E77*100),0)</f>
        <v>22.803109107920093</v>
      </c>
      <c r="H77" s="118">
        <f>IF(C77&lt;&gt;0,F77/C77*100-100," ")</f>
        <v>68.615525141121566</v>
      </c>
      <c r="I77" s="115"/>
      <c r="J77" s="129"/>
    </row>
    <row r="78" spans="1:12" s="119" customFormat="1" ht="12.75" x14ac:dyDescent="0.2">
      <c r="A78" s="13" t="s">
        <v>53</v>
      </c>
      <c r="B78" s="118">
        <v>239.80497661999999</v>
      </c>
      <c r="C78" s="118">
        <f>IF($A78="","",SUM('Situfin serie mensual'!IT76:IW76))</f>
        <v>24.434837758999997</v>
      </c>
      <c r="D78" s="118">
        <f>IFERROR((C78/B78*100),0)</f>
        <v>10.189462330350198</v>
      </c>
      <c r="E78" s="224">
        <v>143.14913865299999</v>
      </c>
      <c r="F78" s="224">
        <f>IF($A78="","",'2'!N79)</f>
        <v>24.470417398000002</v>
      </c>
      <c r="G78" s="118">
        <f>IFERROR((F78/E78*100),0)</f>
        <v>17.09435182653624</v>
      </c>
      <c r="H78" s="118">
        <f>IF(C78&lt;&gt;0,F78/C78*100-100," ")</f>
        <v>0.14561029359360589</v>
      </c>
      <c r="I78" s="115"/>
      <c r="J78" s="130"/>
    </row>
    <row r="79" spans="1:12" s="119" customFormat="1" ht="13.5" customHeight="1" x14ac:dyDescent="0.2">
      <c r="A79" s="13" t="s">
        <v>155</v>
      </c>
      <c r="B79" s="118"/>
      <c r="C79" s="118">
        <f>IF($A79="","",SUM('Situfin serie mensual'!IT77:IW77))</f>
        <v>64.556258688</v>
      </c>
      <c r="D79" s="118">
        <v>0</v>
      </c>
      <c r="E79" s="224"/>
      <c r="F79" s="224">
        <f>IF($A79="","",'2'!N80)</f>
        <v>0</v>
      </c>
      <c r="G79" s="118">
        <v>0</v>
      </c>
      <c r="H79" s="118">
        <f>IF(C79&lt;&gt;0,F79/C79*100-100," ")</f>
        <v>-100</v>
      </c>
      <c r="I79" s="115"/>
      <c r="J79" s="129"/>
    </row>
    <row r="80" spans="1:12" s="119" customFormat="1" ht="13.5" x14ac:dyDescent="0.25">
      <c r="A80" s="150" t="s">
        <v>55</v>
      </c>
      <c r="B80" s="131">
        <v>-11571.518605578</v>
      </c>
      <c r="C80" s="131">
        <f>IF($A80="","",SUM('Situfin serie mensual'!IT78:IW78))</f>
        <v>-1469.1626081739994</v>
      </c>
      <c r="D80" s="200">
        <f>IFERROR((C80/B80*100),0)</f>
        <v>12.696368197219993</v>
      </c>
      <c r="E80" s="228">
        <v>-7896.0516816500094</v>
      </c>
      <c r="F80" s="228">
        <f>IF($A80="","",'2'!N81)</f>
        <v>-1965.1212113349998</v>
      </c>
      <c r="G80" s="200">
        <f>IFERROR((F80/E80*100),0)</f>
        <v>24.887390439728676</v>
      </c>
      <c r="H80" s="131"/>
      <c r="I80" s="115"/>
      <c r="K80" s="187"/>
      <c r="L80" s="187"/>
    </row>
    <row r="81" spans="1:9" s="119" customFormat="1" ht="5.25" customHeight="1" x14ac:dyDescent="0.2">
      <c r="A81" s="13"/>
      <c r="B81" s="118"/>
      <c r="C81" s="118" t="str">
        <f>IF($A81="","",SUM('Situfin serie mensual'!IT79:IW79))</f>
        <v/>
      </c>
      <c r="D81" s="118"/>
      <c r="E81" s="118"/>
      <c r="F81" s="118" t="str">
        <f>IF($A81="","",'2'!N82)</f>
        <v/>
      </c>
      <c r="G81" s="118"/>
      <c r="H81" s="118"/>
      <c r="I81" s="115"/>
    </row>
    <row r="82" spans="1:9" s="119" customFormat="1" ht="12.75" x14ac:dyDescent="0.2">
      <c r="A82" s="152" t="s">
        <v>156</v>
      </c>
      <c r="B82" s="118"/>
      <c r="C82" s="118"/>
      <c r="D82" s="132"/>
      <c r="E82" s="118"/>
      <c r="F82" s="118"/>
      <c r="G82" s="132"/>
      <c r="H82" s="132"/>
      <c r="I82" s="115"/>
    </row>
    <row r="83" spans="1:9" s="119" customFormat="1" ht="7.5" customHeight="1" x14ac:dyDescent="0.2">
      <c r="A83" s="10"/>
      <c r="B83" s="118"/>
      <c r="C83" s="118" t="str">
        <f>IF($A83="","",SUM('Situfin serie mensual'!IT81:IW81))</f>
        <v/>
      </c>
      <c r="D83" s="116"/>
      <c r="E83" s="118"/>
      <c r="F83" s="118" t="str">
        <f>IF($A83="","",'2'!N84)</f>
        <v/>
      </c>
      <c r="G83" s="116"/>
      <c r="H83" s="116"/>
      <c r="I83" s="115"/>
    </row>
    <row r="84" spans="1:9" s="16" customFormat="1" ht="12.75" outlineLevel="2" x14ac:dyDescent="0.2">
      <c r="A84" s="10" t="s">
        <v>56</v>
      </c>
      <c r="B84" s="116">
        <v>-755.59977727000012</v>
      </c>
      <c r="C84" s="116">
        <f>IF($A84="","",SUM('Situfin serie mensual'!IT82:IW82))</f>
        <v>3921.7229029054424</v>
      </c>
      <c r="D84" s="116">
        <f t="shared" ref="D84:D91" si="6">IFERROR((C84/B84*100),0)</f>
        <v>-519.02118302293843</v>
      </c>
      <c r="E84" s="116">
        <v>466.06072826399992</v>
      </c>
      <c r="F84" s="116">
        <f>IF($A84="","",'2'!N85)</f>
        <v>6436.8392894913204</v>
      </c>
      <c r="G84" s="116">
        <f t="shared" ref="G84:G96" si="7">IFERROR((F84/E84*100),0)</f>
        <v>1381.1160003691998</v>
      </c>
      <c r="H84" s="116">
        <f t="shared" ref="H84:H89" si="8">IF(C84&lt;&gt;0,F84/C84*100-100," ")</f>
        <v>64.132944852440545</v>
      </c>
      <c r="I84" s="115"/>
    </row>
    <row r="85" spans="1:9" s="119" customFormat="1" ht="12.75" customHeight="1" x14ac:dyDescent="0.2">
      <c r="A85" s="13" t="s">
        <v>57</v>
      </c>
      <c r="B85" s="118">
        <v>-755.59977727000012</v>
      </c>
      <c r="C85" s="118">
        <f>IF($A85="","",SUM('Situfin serie mensual'!IT83:IW83))</f>
        <v>3921.7229029054424</v>
      </c>
      <c r="D85" s="118">
        <f t="shared" si="6"/>
        <v>-519.02118302293843</v>
      </c>
      <c r="E85" s="118">
        <v>466.06072826399992</v>
      </c>
      <c r="F85" s="118">
        <f>IF($A85="","",'2'!N86)</f>
        <v>6436.8392894913204</v>
      </c>
      <c r="G85" s="118">
        <f t="shared" si="7"/>
        <v>1381.1160003691998</v>
      </c>
      <c r="H85" s="118">
        <f t="shared" si="8"/>
        <v>64.132944852440545</v>
      </c>
      <c r="I85" s="115"/>
    </row>
    <row r="86" spans="1:9" s="119" customFormat="1" ht="12.75" customHeight="1" x14ac:dyDescent="0.2">
      <c r="A86" s="13" t="s">
        <v>58</v>
      </c>
      <c r="B86" s="118">
        <v>0</v>
      </c>
      <c r="C86" s="118">
        <f>IF($A86="","",SUM('Situfin serie mensual'!IT84:IW84))</f>
        <v>0</v>
      </c>
      <c r="D86" s="118">
        <f t="shared" si="6"/>
        <v>0</v>
      </c>
      <c r="E86" s="118">
        <v>0</v>
      </c>
      <c r="F86" s="118">
        <f>IF($A86="","",'2'!N87)</f>
        <v>0</v>
      </c>
      <c r="G86" s="118">
        <f t="shared" si="7"/>
        <v>0</v>
      </c>
      <c r="H86" s="118" t="str">
        <f t="shared" si="8"/>
        <v xml:space="preserve"> </v>
      </c>
      <c r="I86" s="115"/>
    </row>
    <row r="87" spans="1:9" s="16" customFormat="1" ht="12.75" outlineLevel="2" x14ac:dyDescent="0.2">
      <c r="A87" s="10" t="s">
        <v>59</v>
      </c>
      <c r="B87" s="116">
        <v>10815.918828308</v>
      </c>
      <c r="C87" s="116">
        <f>IF($A87="","",SUM('Situfin serie mensual'!IT85:IW85))</f>
        <v>3377.6098922309993</v>
      </c>
      <c r="D87" s="116">
        <f t="shared" si="6"/>
        <v>31.228136470393419</v>
      </c>
      <c r="E87" s="116">
        <v>8362.1124099139997</v>
      </c>
      <c r="F87" s="116">
        <f>IF($A87="","",'2'!N88)</f>
        <v>6263.5196752809989</v>
      </c>
      <c r="G87" s="116">
        <f t="shared" si="7"/>
        <v>74.903557477355363</v>
      </c>
      <c r="H87" s="116">
        <f t="shared" si="8"/>
        <v>85.442365315426656</v>
      </c>
      <c r="I87" s="115"/>
    </row>
    <row r="88" spans="1:9" s="119" customFormat="1" ht="15" customHeight="1" x14ac:dyDescent="0.2">
      <c r="A88" s="13" t="s">
        <v>57</v>
      </c>
      <c r="B88" s="118">
        <v>1073.310020851</v>
      </c>
      <c r="C88" s="118">
        <f>IF($A88="","",SUM('Situfin serie mensual'!IT86:IW86))</f>
        <v>-2632.8651939199995</v>
      </c>
      <c r="D88" s="118">
        <f t="shared" si="6"/>
        <v>-245.3033273492097</v>
      </c>
      <c r="E88" s="118">
        <v>-1130.0438294989999</v>
      </c>
      <c r="F88" s="118">
        <f>IF($A88="","",'2'!N89)</f>
        <v>-528.80219926199993</v>
      </c>
      <c r="G88" s="118">
        <f t="shared" si="7"/>
        <v>46.794839762670279</v>
      </c>
      <c r="H88" s="118">
        <f t="shared" si="8"/>
        <v>-79.915333284698818</v>
      </c>
      <c r="I88" s="115"/>
    </row>
    <row r="89" spans="1:9" s="119" customFormat="1" ht="12.75" customHeight="1" x14ac:dyDescent="0.2">
      <c r="A89" s="13" t="s">
        <v>58</v>
      </c>
      <c r="B89" s="118">
        <v>9742.6088074569998</v>
      </c>
      <c r="C89" s="118">
        <f>IF($A89="","",SUM('Situfin serie mensual'!IT87:IW87))</f>
        <v>6010.4750861509992</v>
      </c>
      <c r="D89" s="118">
        <f t="shared" si="6"/>
        <v>61.6926657421632</v>
      </c>
      <c r="E89" s="118">
        <v>9492.1562394129996</v>
      </c>
      <c r="F89" s="118">
        <f>IF($A89="","",'2'!N90)</f>
        <v>6792.3218745429995</v>
      </c>
      <c r="G89" s="118">
        <f t="shared" si="7"/>
        <v>71.55720684769345</v>
      </c>
      <c r="H89" s="118">
        <f t="shared" si="8"/>
        <v>13.008069698075758</v>
      </c>
      <c r="I89" s="115"/>
    </row>
    <row r="90" spans="1:9" s="119" customFormat="1" ht="6" customHeight="1" x14ac:dyDescent="0.2">
      <c r="A90" s="13"/>
      <c r="B90" s="118"/>
      <c r="C90" s="118" t="str">
        <f>IF($A90="","",SUM('Situfin serie mensual'!IT88:IW88))</f>
        <v/>
      </c>
      <c r="D90" s="118"/>
      <c r="E90" s="118"/>
      <c r="F90" s="118" t="str">
        <f>IF($A90="","",'2'!N91)</f>
        <v/>
      </c>
      <c r="G90" s="118"/>
      <c r="H90" s="118"/>
      <c r="I90" s="115"/>
    </row>
    <row r="91" spans="1:9" s="10" customFormat="1" ht="12.75" x14ac:dyDescent="0.2">
      <c r="A91" s="10" t="s">
        <v>60</v>
      </c>
      <c r="B91" s="116">
        <v>-259.473797058</v>
      </c>
      <c r="C91" s="116">
        <f>IF($A91="","",SUM('Situfin serie mensual'!IT89:IW89))</f>
        <v>-3501.212021629</v>
      </c>
      <c r="D91" s="116">
        <f t="shared" si="6"/>
        <v>1349.3509022209191</v>
      </c>
      <c r="E91" s="116">
        <v>-4.7359105999999998E-2</v>
      </c>
      <c r="F91" s="116">
        <f>IF($A91="","",'2'!N92)</f>
        <v>-772.16450486299993</v>
      </c>
      <c r="G91" s="116"/>
      <c r="H91" s="116">
        <f t="shared" ref="H91:H96" si="9">IF(C91&lt;&gt;0,F91/C91*100-100," ")</f>
        <v>-77.94579419661261</v>
      </c>
      <c r="I91" s="115"/>
    </row>
    <row r="92" spans="1:9" s="134" customFormat="1" ht="12.75" customHeight="1" x14ac:dyDescent="0.2">
      <c r="A92" s="13" t="s">
        <v>61</v>
      </c>
      <c r="B92" s="133">
        <v>0</v>
      </c>
      <c r="C92" s="133">
        <f>IF($A92="","",SUM('Situfin serie mensual'!IT90:IW90))</f>
        <v>1983.4152359700001</v>
      </c>
      <c r="D92" s="133">
        <f>IFERROR((C92/B92*100),0)</f>
        <v>0</v>
      </c>
      <c r="E92" s="133">
        <v>0</v>
      </c>
      <c r="F92" s="133">
        <f>IF($A92="","",'2'!N93)</f>
        <v>1605.4676232949998</v>
      </c>
      <c r="G92" s="133"/>
      <c r="H92" s="133">
        <f t="shared" si="9"/>
        <v>-19.055395250614922</v>
      </c>
      <c r="I92" s="115"/>
    </row>
    <row r="93" spans="1:9" s="134" customFormat="1" ht="12.75" customHeight="1" x14ac:dyDescent="0.2">
      <c r="A93" s="13" t="s">
        <v>62</v>
      </c>
      <c r="B93" s="133">
        <v>259.473797058</v>
      </c>
      <c r="C93" s="133">
        <f>IF($A93="","",SUM('Situfin serie mensual'!IT91:IW91))</f>
        <v>5484.6272575989997</v>
      </c>
      <c r="D93" s="133">
        <f>IFERROR((C93/B93*100),0)</f>
        <v>2113.7499507794323</v>
      </c>
      <c r="E93" s="133">
        <v>4.7359105999999998E-2</v>
      </c>
      <c r="F93" s="133">
        <f>IF($A93="","",'2'!N94)</f>
        <v>2377.6321281579999</v>
      </c>
      <c r="G93" s="133"/>
      <c r="H93" s="133">
        <f t="shared" si="9"/>
        <v>-56.649157426992517</v>
      </c>
      <c r="I93" s="115"/>
    </row>
    <row r="94" spans="1:9" s="134" customFormat="1" ht="6.75" customHeight="1" x14ac:dyDescent="0.2">
      <c r="B94" s="133"/>
      <c r="C94" s="133" t="str">
        <f>IF($A94="","",SUM('Situfin serie mensual'!IT92:IW92))</f>
        <v/>
      </c>
      <c r="D94" s="133"/>
      <c r="E94" s="133"/>
      <c r="F94" s="133" t="str">
        <f>IF($A94="","",'2'!N95)</f>
        <v/>
      </c>
      <c r="G94" s="133"/>
      <c r="H94" s="133"/>
      <c r="I94" s="115"/>
    </row>
    <row r="95" spans="1:9" s="134" customFormat="1" ht="12.75" x14ac:dyDescent="0.2">
      <c r="A95" s="10" t="s">
        <v>63</v>
      </c>
      <c r="B95" s="135">
        <v>-1779.5283544860001</v>
      </c>
      <c r="C95" s="135">
        <f>IF($A95="","",SUM('Situfin serie mensual'!IT93:IW93))</f>
        <v>3616.2041246154417</v>
      </c>
      <c r="D95" s="135">
        <f>IFERROR((C95/B95*100),0)</f>
        <v>-203.21137988610181</v>
      </c>
      <c r="E95" s="135">
        <v>-1455.155719352</v>
      </c>
      <c r="F95" s="135">
        <f>IF($A95="","",'2'!N96)</f>
        <v>6019.5440963533201</v>
      </c>
      <c r="G95" s="135">
        <f t="shared" si="7"/>
        <v>-413.67009841626452</v>
      </c>
      <c r="H95" s="135">
        <f t="shared" si="9"/>
        <v>66.460296181246605</v>
      </c>
      <c r="I95" s="115"/>
    </row>
    <row r="96" spans="1:9" s="134" customFormat="1" ht="12.75" x14ac:dyDescent="0.2">
      <c r="A96" s="13" t="s">
        <v>64</v>
      </c>
      <c r="B96" s="133">
        <v>-1779.5283544860001</v>
      </c>
      <c r="C96" s="133">
        <f>IF($A96="","",SUM('Situfin serie mensual'!IT94:IW94))</f>
        <v>3616.2041246154417</v>
      </c>
      <c r="D96" s="133">
        <f>IFERROR((C96/B96*100),0)</f>
        <v>-203.21137988610181</v>
      </c>
      <c r="E96" s="133">
        <v>-1455.155719352</v>
      </c>
      <c r="F96" s="133">
        <f>IF($A96="","",'2'!N97)</f>
        <v>6019.5440963533201</v>
      </c>
      <c r="G96" s="133">
        <f t="shared" si="7"/>
        <v>-413.67009841626452</v>
      </c>
      <c r="H96" s="133">
        <f t="shared" si="9"/>
        <v>66.460296181246605</v>
      </c>
      <c r="I96" s="115"/>
    </row>
    <row r="97" spans="1:12" s="134" customFormat="1" ht="7.5" customHeight="1" x14ac:dyDescent="0.2">
      <c r="A97" s="119"/>
      <c r="B97" s="133"/>
      <c r="C97" s="133" t="str">
        <f>IF($A97="","",SUM('Situfin serie mensual'!HI95:IW95))</f>
        <v/>
      </c>
      <c r="D97" s="133"/>
      <c r="E97" s="133"/>
      <c r="F97" s="133" t="str">
        <f>IF($A97="","",'2'!N98)</f>
        <v/>
      </c>
      <c r="G97" s="133"/>
      <c r="H97" s="133"/>
      <c r="I97" s="115"/>
    </row>
    <row r="98" spans="1:12" s="134" customFormat="1" ht="12.75" hidden="1" customHeight="1" x14ac:dyDescent="0.2">
      <c r="A98" s="10" t="s">
        <v>157</v>
      </c>
      <c r="B98" s="135">
        <v>0</v>
      </c>
      <c r="C98" s="135">
        <f>IF($A98="","",SUM('Situfin serie mensual'!GX96:HI96))</f>
        <v>734.43644826141701</v>
      </c>
      <c r="D98" s="135"/>
      <c r="E98" s="135">
        <v>0</v>
      </c>
      <c r="F98" s="135">
        <f>IF($A98="","",'2'!N99)</f>
        <v>-2138.4408255453218</v>
      </c>
      <c r="G98" s="133"/>
      <c r="H98" s="135"/>
      <c r="I98" s="115"/>
    </row>
    <row r="99" spans="1:12" x14ac:dyDescent="0.2">
      <c r="B99" s="201"/>
      <c r="C99" s="201" t="str">
        <f>IF($A99="","",SUM('Situfin serie mensual'!GX97:HI97))</f>
        <v/>
      </c>
      <c r="D99" s="201"/>
      <c r="E99" s="201"/>
      <c r="F99" s="201" t="str">
        <f>IF($A99="","",'2'!N100)</f>
        <v/>
      </c>
      <c r="G99" s="201"/>
      <c r="H99" s="201"/>
      <c r="I99" s="115"/>
    </row>
    <row r="100" spans="1:12" x14ac:dyDescent="0.2">
      <c r="A100" s="207" t="s">
        <v>194</v>
      </c>
      <c r="B100" s="208"/>
      <c r="C100" s="208"/>
      <c r="D100" s="208"/>
      <c r="E100" s="208"/>
      <c r="F100" s="208"/>
      <c r="G100" s="208"/>
      <c r="H100" s="208"/>
      <c r="I100" s="115"/>
    </row>
    <row r="101" spans="1:12" x14ac:dyDescent="0.2">
      <c r="A101" s="202" t="s">
        <v>195</v>
      </c>
      <c r="B101" s="203">
        <f>B36-B50-B53-B56-B68-B43</f>
        <v>46004.588434461009</v>
      </c>
      <c r="C101" s="203">
        <f>C36-C50-C53-C56-C68-C43</f>
        <v>13141.301295326002</v>
      </c>
      <c r="D101" s="133">
        <f>IFERROR((C101/B101*100),0)</f>
        <v>28.565196956489121</v>
      </c>
      <c r="E101" s="203">
        <f>E36-E50-E53-E56-E68-E43</f>
        <v>48916.185894295006</v>
      </c>
      <c r="F101" s="203">
        <f>F36-F50-F53-F56-F68-F43</f>
        <v>13906.861821981998</v>
      </c>
      <c r="G101" s="133">
        <f t="shared" ref="G101:G102" si="10">IFERROR((F101/E101*100),0)</f>
        <v>28.429979908968999</v>
      </c>
      <c r="H101" s="133">
        <f t="shared" ref="H101:H102" si="11">IF(C101&lt;&gt;0,F101/C101*100-100," ")</f>
        <v>5.8256066842351686</v>
      </c>
      <c r="I101" s="115"/>
      <c r="J101" s="206"/>
    </row>
    <row r="102" spans="1:12" x14ac:dyDescent="0.2">
      <c r="A102" s="202" t="s">
        <v>93</v>
      </c>
      <c r="B102" s="203">
        <f>B80+B43</f>
        <v>-4645.6792607209991</v>
      </c>
      <c r="C102" s="203">
        <f>C80+C43</f>
        <v>514.75731255100072</v>
      </c>
      <c r="D102" s="133">
        <f>IFERROR((C102/B102*100),0)</f>
        <v>-11.080345492278164</v>
      </c>
      <c r="E102" s="203">
        <f>E80+E43</f>
        <v>124.73047290699105</v>
      </c>
      <c r="F102" s="203">
        <f>F80+F43</f>
        <v>352.01277978200051</v>
      </c>
      <c r="G102" s="133">
        <f t="shared" si="10"/>
        <v>282.21874861685899</v>
      </c>
      <c r="H102" s="133">
        <f t="shared" si="11"/>
        <v>-31.615778698214399</v>
      </c>
      <c r="I102" s="115"/>
      <c r="J102" s="206"/>
    </row>
    <row r="103" spans="1:12" ht="9" customHeight="1" x14ac:dyDescent="0.2">
      <c r="A103" s="209"/>
      <c r="B103" s="210"/>
      <c r="C103" s="210"/>
      <c r="D103" s="211"/>
      <c r="E103" s="210"/>
      <c r="F103" s="210"/>
      <c r="G103" s="211"/>
      <c r="H103" s="211"/>
      <c r="I103" s="115"/>
      <c r="J103" s="206"/>
    </row>
    <row r="104" spans="1:12" ht="16.5" x14ac:dyDescent="0.3">
      <c r="A104" s="174" t="s">
        <v>191</v>
      </c>
      <c r="B104" s="137"/>
      <c r="D104" s="137"/>
      <c r="E104" s="137"/>
      <c r="F104" s="138"/>
      <c r="I104" s="115"/>
    </row>
    <row r="105" spans="1:12" x14ac:dyDescent="0.2">
      <c r="A105" s="139" t="s">
        <v>158</v>
      </c>
      <c r="B105" s="137"/>
      <c r="D105" s="137"/>
      <c r="E105" s="137"/>
      <c r="F105" s="140"/>
      <c r="G105" s="140"/>
      <c r="H105" s="140"/>
      <c r="I105" s="115"/>
      <c r="J105" s="140"/>
      <c r="K105" s="140"/>
      <c r="L105" s="140"/>
    </row>
    <row r="106" spans="1:12" x14ac:dyDescent="0.2">
      <c r="B106" s="137"/>
      <c r="D106" s="137"/>
      <c r="E106" s="137"/>
      <c r="F106" s="140"/>
      <c r="G106" s="140"/>
      <c r="H106" s="140"/>
      <c r="I106" s="115"/>
      <c r="J106" s="140"/>
      <c r="K106" s="140"/>
      <c r="L106" s="140"/>
    </row>
    <row r="107" spans="1:12" hidden="1" x14ac:dyDescent="0.2">
      <c r="B107" s="137"/>
      <c r="D107" s="137"/>
      <c r="E107" s="137"/>
      <c r="F107" s="140"/>
      <c r="G107" s="140"/>
      <c r="H107" s="140"/>
      <c r="I107" s="141"/>
      <c r="J107" s="140"/>
      <c r="K107" s="140"/>
      <c r="L107" s="140"/>
    </row>
    <row r="108" spans="1:12" hidden="1" x14ac:dyDescent="0.2">
      <c r="B108" s="137"/>
      <c r="D108" s="137"/>
      <c r="E108" s="137"/>
      <c r="F108" s="140"/>
      <c r="G108" s="140"/>
      <c r="H108" s="140"/>
      <c r="I108" s="141"/>
      <c r="J108" s="140"/>
      <c r="K108" s="140"/>
      <c r="L108" s="140"/>
    </row>
    <row r="109" spans="1:12" hidden="1" x14ac:dyDescent="0.2">
      <c r="B109" s="137"/>
      <c r="D109" s="137"/>
      <c r="E109" s="137"/>
      <c r="F109" s="140"/>
      <c r="G109" s="140"/>
      <c r="H109" s="140"/>
      <c r="I109" s="141"/>
      <c r="J109" s="140"/>
      <c r="K109" s="140"/>
      <c r="L109" s="140"/>
    </row>
    <row r="110" spans="1:12" hidden="1" x14ac:dyDescent="0.2">
      <c r="B110" s="137"/>
      <c r="D110" s="137"/>
      <c r="E110" s="137"/>
      <c r="F110" s="140"/>
      <c r="G110" s="140"/>
      <c r="H110" s="140"/>
      <c r="I110" s="141"/>
      <c r="J110" s="140"/>
      <c r="K110" s="140"/>
      <c r="L110" s="140"/>
    </row>
    <row r="111" spans="1:12" hidden="1" x14ac:dyDescent="0.2">
      <c r="B111" s="137"/>
      <c r="D111" s="137"/>
      <c r="E111" s="137"/>
      <c r="F111" s="140"/>
      <c r="G111" s="140"/>
      <c r="H111" s="140"/>
      <c r="I111" s="141"/>
      <c r="J111" s="140"/>
      <c r="K111" s="140"/>
      <c r="L111" s="140"/>
    </row>
    <row r="112" spans="1:12" hidden="1" x14ac:dyDescent="0.2">
      <c r="B112" s="137"/>
      <c r="D112" s="137"/>
      <c r="E112" s="137"/>
      <c r="F112" s="140"/>
      <c r="G112" s="140"/>
      <c r="H112" s="140"/>
      <c r="I112" s="141"/>
      <c r="J112" s="140"/>
      <c r="K112" s="140"/>
      <c r="L112" s="140"/>
    </row>
    <row r="113" spans="2:12" hidden="1" x14ac:dyDescent="0.2">
      <c r="B113" s="137"/>
      <c r="D113" s="137"/>
      <c r="E113" s="137"/>
      <c r="F113" s="140"/>
      <c r="G113" s="140"/>
      <c r="H113" s="140"/>
      <c r="I113" s="141"/>
      <c r="J113" s="140"/>
      <c r="K113" s="140"/>
      <c r="L113" s="140"/>
    </row>
    <row r="114" spans="2:12" hidden="1" x14ac:dyDescent="0.2">
      <c r="B114" s="137"/>
      <c r="D114" s="137"/>
      <c r="E114" s="137"/>
      <c r="F114" s="140"/>
      <c r="G114" s="140"/>
      <c r="H114" s="140"/>
      <c r="I114" s="141"/>
      <c r="J114" s="140"/>
      <c r="K114" s="140"/>
      <c r="L114" s="140"/>
    </row>
    <row r="115" spans="2:12" hidden="1" x14ac:dyDescent="0.2">
      <c r="B115" s="137"/>
      <c r="D115" s="137"/>
      <c r="E115" s="137"/>
      <c r="F115" s="140"/>
      <c r="G115" s="140"/>
      <c r="H115" s="140"/>
      <c r="I115" s="142"/>
      <c r="J115" s="140"/>
      <c r="K115" s="140"/>
      <c r="L115" s="140"/>
    </row>
    <row r="116" spans="2:12" hidden="1" x14ac:dyDescent="0.2">
      <c r="E116" s="137"/>
      <c r="F116" s="140"/>
      <c r="G116" s="140"/>
      <c r="H116" s="140"/>
      <c r="I116" s="141"/>
      <c r="J116" s="140"/>
      <c r="K116" s="140"/>
      <c r="L116" s="140"/>
    </row>
    <row r="117" spans="2:12" hidden="1" x14ac:dyDescent="0.2">
      <c r="E117" s="137"/>
      <c r="F117" s="140"/>
      <c r="G117" s="140"/>
      <c r="H117" s="140"/>
      <c r="I117" s="141"/>
      <c r="J117" s="140"/>
      <c r="K117" s="140"/>
      <c r="L117" s="140"/>
    </row>
    <row r="118" spans="2:12" hidden="1" x14ac:dyDescent="0.2">
      <c r="E118" s="137"/>
      <c r="F118" s="140"/>
      <c r="G118" s="140"/>
      <c r="H118" s="140"/>
      <c r="I118" s="141"/>
      <c r="J118" s="140"/>
      <c r="K118" s="140"/>
      <c r="L118" s="140"/>
    </row>
    <row r="119" spans="2:12" hidden="1" x14ac:dyDescent="0.2">
      <c r="E119" s="137"/>
      <c r="F119" s="140"/>
      <c r="G119" s="140"/>
      <c r="H119" s="140"/>
      <c r="I119" s="141"/>
      <c r="J119" s="140"/>
      <c r="K119" s="140"/>
      <c r="L119" s="140"/>
    </row>
    <row r="120" spans="2:12" hidden="1" x14ac:dyDescent="0.2">
      <c r="E120" s="137"/>
      <c r="F120" s="140"/>
      <c r="G120" s="140"/>
      <c r="H120" s="140"/>
      <c r="I120" s="141"/>
      <c r="J120" s="140"/>
      <c r="K120" s="140"/>
      <c r="L120" s="140"/>
    </row>
    <row r="121" spans="2:12" hidden="1" x14ac:dyDescent="0.2">
      <c r="G121" s="140"/>
      <c r="H121" s="140"/>
      <c r="I121" s="141"/>
      <c r="J121" s="140"/>
      <c r="K121" s="140"/>
      <c r="L121" s="140"/>
    </row>
    <row r="122" spans="2:12" hidden="1" x14ac:dyDescent="0.2">
      <c r="G122" s="140"/>
      <c r="H122" s="140"/>
      <c r="I122" s="141"/>
      <c r="J122" s="140"/>
      <c r="K122" s="140"/>
      <c r="L122" s="140"/>
    </row>
    <row r="123" spans="2:12" hidden="1" x14ac:dyDescent="0.2">
      <c r="G123" s="140"/>
      <c r="H123" s="140"/>
      <c r="I123" s="140"/>
      <c r="J123" s="140"/>
      <c r="K123" s="140"/>
      <c r="L123" s="140"/>
    </row>
    <row r="124" spans="2:12" hidden="1" x14ac:dyDescent="0.2">
      <c r="G124" s="140"/>
      <c r="H124" s="140"/>
      <c r="I124" s="140"/>
      <c r="J124" s="140"/>
      <c r="K124" s="140"/>
      <c r="L124" s="140"/>
    </row>
    <row r="125" spans="2:12" hidden="1" x14ac:dyDescent="0.2">
      <c r="G125" s="140"/>
      <c r="H125" s="140"/>
      <c r="I125" s="140"/>
      <c r="J125" s="140"/>
      <c r="K125" s="140"/>
      <c r="L125" s="140"/>
    </row>
    <row r="126" spans="2:12" hidden="1" x14ac:dyDescent="0.2">
      <c r="G126" s="140"/>
      <c r="H126" s="140"/>
      <c r="I126" s="140"/>
      <c r="J126" s="140"/>
      <c r="K126" s="140"/>
      <c r="L126" s="140"/>
    </row>
    <row r="127" spans="2:12" hidden="1" x14ac:dyDescent="0.2">
      <c r="G127" s="140"/>
      <c r="H127" s="140"/>
      <c r="I127" s="140"/>
      <c r="J127" s="140"/>
      <c r="K127" s="140"/>
      <c r="L127" s="140"/>
    </row>
    <row r="128" spans="2:12" hidden="1" x14ac:dyDescent="0.2">
      <c r="G128" s="140"/>
      <c r="H128" s="140"/>
      <c r="I128" s="140"/>
      <c r="J128" s="140"/>
      <c r="K128" s="140"/>
      <c r="L128" s="140"/>
    </row>
    <row r="129" spans="7:12" hidden="1" x14ac:dyDescent="0.2">
      <c r="G129" s="140"/>
      <c r="H129" s="140"/>
      <c r="I129" s="140"/>
      <c r="J129" s="140"/>
      <c r="K129" s="140"/>
      <c r="L129" s="140"/>
    </row>
    <row r="130" spans="7:12" hidden="1" x14ac:dyDescent="0.2">
      <c r="G130" s="140"/>
      <c r="H130" s="140"/>
      <c r="I130" s="140"/>
      <c r="J130" s="140"/>
      <c r="K130" s="140"/>
      <c r="L130" s="140"/>
    </row>
    <row r="131" spans="7:12" hidden="1" x14ac:dyDescent="0.2">
      <c r="G131" s="140"/>
      <c r="H131" s="140"/>
      <c r="I131" s="140"/>
      <c r="J131" s="140"/>
      <c r="K131" s="140"/>
      <c r="L131" s="140"/>
    </row>
    <row r="132" spans="7:12" hidden="1" x14ac:dyDescent="0.2">
      <c r="G132" s="140"/>
      <c r="H132" s="140"/>
      <c r="I132" s="140"/>
      <c r="J132" s="140"/>
      <c r="K132" s="140"/>
      <c r="L132" s="140"/>
    </row>
    <row r="133" spans="7:12" hidden="1" x14ac:dyDescent="0.2">
      <c r="G133" s="140"/>
      <c r="H133" s="140"/>
      <c r="I133" s="140"/>
      <c r="J133" s="140"/>
      <c r="K133" s="140"/>
      <c r="L133" s="140"/>
    </row>
    <row r="134" spans="7:12" hidden="1" x14ac:dyDescent="0.2">
      <c r="G134" s="140"/>
      <c r="H134" s="140"/>
      <c r="I134" s="140"/>
      <c r="J134" s="140"/>
      <c r="K134" s="140"/>
      <c r="L134" s="140"/>
    </row>
    <row r="135" spans="7:12" hidden="1" x14ac:dyDescent="0.2">
      <c r="G135" s="140"/>
      <c r="H135" s="140"/>
      <c r="I135" s="140"/>
      <c r="J135" s="140"/>
      <c r="K135" s="140"/>
      <c r="L135" s="140"/>
    </row>
    <row r="136" spans="7:12" hidden="1" x14ac:dyDescent="0.2">
      <c r="G136" s="140"/>
      <c r="H136" s="140"/>
      <c r="I136" s="140"/>
      <c r="J136" s="140"/>
      <c r="K136" s="140"/>
      <c r="L136" s="140"/>
    </row>
    <row r="137" spans="7:12" hidden="1" x14ac:dyDescent="0.2">
      <c r="G137" s="140"/>
      <c r="H137" s="140"/>
      <c r="I137" s="140"/>
      <c r="J137" s="140"/>
      <c r="K137" s="140"/>
      <c r="L137" s="140"/>
    </row>
    <row r="138" spans="7:12" hidden="1" x14ac:dyDescent="0.2">
      <c r="G138" s="140"/>
      <c r="H138" s="140"/>
      <c r="I138" s="140"/>
      <c r="J138" s="140"/>
      <c r="K138" s="140"/>
      <c r="L138" s="140"/>
    </row>
  </sheetData>
  <mergeCells count="12">
    <mergeCell ref="G9:G10"/>
    <mergeCell ref="H9:H10"/>
    <mergeCell ref="A3:H3"/>
    <mergeCell ref="A4:H4"/>
    <mergeCell ref="A6:H6"/>
    <mergeCell ref="A7:H7"/>
    <mergeCell ref="A9:A10"/>
    <mergeCell ref="B9:B10"/>
    <mergeCell ref="C9:C10"/>
    <mergeCell ref="D9:D10"/>
    <mergeCell ref="E9:E10"/>
    <mergeCell ref="F9:F10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:C99" formulaRange="1"/>
    <ignoredError sqref="D101:D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6.42578125" style="104" customWidth="1"/>
    <col min="2" max="2" width="8.5703125" style="104" bestFit="1" customWidth="1"/>
    <col min="3" max="3" width="8.85546875" style="104" customWidth="1"/>
    <col min="4" max="4" width="8.5703125" style="104" customWidth="1"/>
    <col min="5" max="5" width="9.28515625" style="104" customWidth="1"/>
    <col min="6" max="6" width="8.5703125" style="145" hidden="1" customWidth="1"/>
    <col min="7" max="7" width="7.7109375" style="104" hidden="1" customWidth="1"/>
    <col min="8" max="10" width="8.5703125" style="104" hidden="1" customWidth="1"/>
    <col min="11" max="11" width="10.28515625" style="104" hidden="1" customWidth="1"/>
    <col min="12" max="12" width="10.140625" style="104" hidden="1" customWidth="1"/>
    <col min="13" max="13" width="10.28515625" style="104" hidden="1" customWidth="1"/>
    <col min="14" max="14" width="10.28515625" style="104" customWidth="1"/>
    <col min="15" max="15" width="5.140625" style="104" customWidth="1"/>
    <col min="16" max="16" width="16.85546875" style="104" customWidth="1"/>
    <col min="17" max="256" width="12.28515625" style="104" hidden="1"/>
    <col min="257" max="257" width="53.85546875" style="104" hidden="1"/>
    <col min="258" max="259" width="7.7109375" style="104" hidden="1"/>
    <col min="260" max="260" width="8.28515625" style="104" hidden="1"/>
    <col min="261" max="261" width="8.42578125" style="104" hidden="1"/>
    <col min="262" max="262" width="9" style="104" hidden="1"/>
    <col min="263" max="263" width="8" style="104" hidden="1"/>
    <col min="264" max="269" width="12.28515625" style="104" hidden="1"/>
    <col min="270" max="270" width="11.28515625" style="104" hidden="1"/>
    <col min="271" max="512" width="12.28515625" style="104" hidden="1"/>
    <col min="513" max="513" width="53.85546875" style="104" hidden="1"/>
    <col min="514" max="515" width="7.7109375" style="104" hidden="1"/>
    <col min="516" max="516" width="8.28515625" style="104" hidden="1"/>
    <col min="517" max="517" width="8.42578125" style="104" hidden="1"/>
    <col min="518" max="518" width="9" style="104" hidden="1"/>
    <col min="519" max="519" width="8" style="104" hidden="1"/>
    <col min="520" max="525" width="12.28515625" style="104" hidden="1"/>
    <col min="526" max="526" width="11.28515625" style="104" hidden="1"/>
    <col min="527" max="768" width="12.28515625" style="104" hidden="1"/>
    <col min="769" max="769" width="53.85546875" style="104" hidden="1"/>
    <col min="770" max="771" width="7.7109375" style="104" hidden="1"/>
    <col min="772" max="772" width="8.28515625" style="104" hidden="1"/>
    <col min="773" max="773" width="8.42578125" style="104" hidden="1"/>
    <col min="774" max="774" width="9" style="104" hidden="1"/>
    <col min="775" max="775" width="8" style="104" hidden="1"/>
    <col min="776" max="781" width="12.28515625" style="104" hidden="1"/>
    <col min="782" max="782" width="11.28515625" style="104" hidden="1"/>
    <col min="783" max="1024" width="12.28515625" style="104" hidden="1"/>
    <col min="1025" max="1025" width="53.85546875" style="104" hidden="1"/>
    <col min="1026" max="1027" width="7.7109375" style="104" hidden="1"/>
    <col min="1028" max="1028" width="8.28515625" style="104" hidden="1"/>
    <col min="1029" max="1029" width="8.42578125" style="104" hidden="1"/>
    <col min="1030" max="1030" width="9" style="104" hidden="1"/>
    <col min="1031" max="1031" width="8" style="104" hidden="1"/>
    <col min="1032" max="1037" width="12.28515625" style="104" hidden="1"/>
    <col min="1038" max="1038" width="11.28515625" style="104" hidden="1"/>
    <col min="1039" max="1280" width="12.28515625" style="104" hidden="1"/>
    <col min="1281" max="1281" width="53.85546875" style="104" hidden="1"/>
    <col min="1282" max="1283" width="7.7109375" style="104" hidden="1"/>
    <col min="1284" max="1284" width="8.28515625" style="104" hidden="1"/>
    <col min="1285" max="1285" width="8.42578125" style="104" hidden="1"/>
    <col min="1286" max="1286" width="9" style="104" hidden="1"/>
    <col min="1287" max="1287" width="8" style="104" hidden="1"/>
    <col min="1288" max="1293" width="12.28515625" style="104" hidden="1"/>
    <col min="1294" max="1294" width="11.28515625" style="104" hidden="1"/>
    <col min="1295" max="1536" width="12.28515625" style="104" hidden="1"/>
    <col min="1537" max="1537" width="53.85546875" style="104" hidden="1"/>
    <col min="1538" max="1539" width="7.7109375" style="104" hidden="1"/>
    <col min="1540" max="1540" width="8.28515625" style="104" hidden="1"/>
    <col min="1541" max="1541" width="8.42578125" style="104" hidden="1"/>
    <col min="1542" max="1542" width="9" style="104" hidden="1"/>
    <col min="1543" max="1543" width="8" style="104" hidden="1"/>
    <col min="1544" max="1549" width="12.28515625" style="104" hidden="1"/>
    <col min="1550" max="1550" width="11.28515625" style="104" hidden="1"/>
    <col min="1551" max="1792" width="12.28515625" style="104" hidden="1"/>
    <col min="1793" max="1793" width="53.85546875" style="104" hidden="1"/>
    <col min="1794" max="1795" width="7.7109375" style="104" hidden="1"/>
    <col min="1796" max="1796" width="8.28515625" style="104" hidden="1"/>
    <col min="1797" max="1797" width="8.42578125" style="104" hidden="1"/>
    <col min="1798" max="1798" width="9" style="104" hidden="1"/>
    <col min="1799" max="1799" width="8" style="104" hidden="1"/>
    <col min="1800" max="1805" width="12.28515625" style="104" hidden="1"/>
    <col min="1806" max="1806" width="11.28515625" style="104" hidden="1"/>
    <col min="1807" max="2048" width="12.28515625" style="104" hidden="1"/>
    <col min="2049" max="2049" width="53.85546875" style="104" hidden="1"/>
    <col min="2050" max="2051" width="7.7109375" style="104" hidden="1"/>
    <col min="2052" max="2052" width="8.28515625" style="104" hidden="1"/>
    <col min="2053" max="2053" width="8.42578125" style="104" hidden="1"/>
    <col min="2054" max="2054" width="9" style="104" hidden="1"/>
    <col min="2055" max="2055" width="8" style="104" hidden="1"/>
    <col min="2056" max="2061" width="12.28515625" style="104" hidden="1"/>
    <col min="2062" max="2062" width="11.28515625" style="104" hidden="1"/>
    <col min="2063" max="2304" width="12.28515625" style="104" hidden="1"/>
    <col min="2305" max="2305" width="53.85546875" style="104" hidden="1"/>
    <col min="2306" max="2307" width="7.7109375" style="104" hidden="1"/>
    <col min="2308" max="2308" width="8.28515625" style="104" hidden="1"/>
    <col min="2309" max="2309" width="8.42578125" style="104" hidden="1"/>
    <col min="2310" max="2310" width="9" style="104" hidden="1"/>
    <col min="2311" max="2311" width="8" style="104" hidden="1"/>
    <col min="2312" max="2317" width="12.28515625" style="104" hidden="1"/>
    <col min="2318" max="2318" width="11.28515625" style="104" hidden="1"/>
    <col min="2319" max="2560" width="12.28515625" style="104" hidden="1"/>
    <col min="2561" max="2561" width="53.85546875" style="104" hidden="1"/>
    <col min="2562" max="2563" width="7.7109375" style="104" hidden="1"/>
    <col min="2564" max="2564" width="8.28515625" style="104" hidden="1"/>
    <col min="2565" max="2565" width="8.42578125" style="104" hidden="1"/>
    <col min="2566" max="2566" width="9" style="104" hidden="1"/>
    <col min="2567" max="2567" width="8" style="104" hidden="1"/>
    <col min="2568" max="2573" width="12.28515625" style="104" hidden="1"/>
    <col min="2574" max="2574" width="11.28515625" style="104" hidden="1"/>
    <col min="2575" max="2816" width="12.28515625" style="104" hidden="1"/>
    <col min="2817" max="2817" width="53.85546875" style="104" hidden="1"/>
    <col min="2818" max="2819" width="7.7109375" style="104" hidden="1"/>
    <col min="2820" max="2820" width="8.28515625" style="104" hidden="1"/>
    <col min="2821" max="2821" width="8.42578125" style="104" hidden="1"/>
    <col min="2822" max="2822" width="9" style="104" hidden="1"/>
    <col min="2823" max="2823" width="8" style="104" hidden="1"/>
    <col min="2824" max="2829" width="12.28515625" style="104" hidden="1"/>
    <col min="2830" max="2830" width="11.28515625" style="104" hidden="1"/>
    <col min="2831" max="3072" width="12.28515625" style="104" hidden="1"/>
    <col min="3073" max="3073" width="53.85546875" style="104" hidden="1"/>
    <col min="3074" max="3075" width="7.7109375" style="104" hidden="1"/>
    <col min="3076" max="3076" width="8.28515625" style="104" hidden="1"/>
    <col min="3077" max="3077" width="8.42578125" style="104" hidden="1"/>
    <col min="3078" max="3078" width="9" style="104" hidden="1"/>
    <col min="3079" max="3079" width="8" style="104" hidden="1"/>
    <col min="3080" max="3085" width="12.28515625" style="104" hidden="1"/>
    <col min="3086" max="3086" width="11.28515625" style="104" hidden="1"/>
    <col min="3087" max="3328" width="12.28515625" style="104" hidden="1"/>
    <col min="3329" max="3329" width="53.85546875" style="104" hidden="1"/>
    <col min="3330" max="3331" width="7.7109375" style="104" hidden="1"/>
    <col min="3332" max="3332" width="8.28515625" style="104" hidden="1"/>
    <col min="3333" max="3333" width="8.42578125" style="104" hidden="1"/>
    <col min="3334" max="3334" width="9" style="104" hidden="1"/>
    <col min="3335" max="3335" width="8" style="104" hidden="1"/>
    <col min="3336" max="3341" width="12.28515625" style="104" hidden="1"/>
    <col min="3342" max="3342" width="11.28515625" style="104" hidden="1"/>
    <col min="3343" max="3584" width="12.28515625" style="104" hidden="1"/>
    <col min="3585" max="3585" width="53.85546875" style="104" hidden="1"/>
    <col min="3586" max="3587" width="7.7109375" style="104" hidden="1"/>
    <col min="3588" max="3588" width="8.28515625" style="104" hidden="1"/>
    <col min="3589" max="3589" width="8.42578125" style="104" hidden="1"/>
    <col min="3590" max="3590" width="9" style="104" hidden="1"/>
    <col min="3591" max="3591" width="8" style="104" hidden="1"/>
    <col min="3592" max="3597" width="12.28515625" style="104" hidden="1"/>
    <col min="3598" max="3598" width="11.28515625" style="104" hidden="1"/>
    <col min="3599" max="3840" width="12.28515625" style="104" hidden="1"/>
    <col min="3841" max="3841" width="53.85546875" style="104" hidden="1"/>
    <col min="3842" max="3843" width="7.7109375" style="104" hidden="1"/>
    <col min="3844" max="3844" width="8.28515625" style="104" hidden="1"/>
    <col min="3845" max="3845" width="8.42578125" style="104" hidden="1"/>
    <col min="3846" max="3846" width="9" style="104" hidden="1"/>
    <col min="3847" max="3847" width="8" style="104" hidden="1"/>
    <col min="3848" max="3853" width="12.28515625" style="104" hidden="1"/>
    <col min="3854" max="3854" width="11.28515625" style="104" hidden="1"/>
    <col min="3855" max="4096" width="12.28515625" style="104" hidden="1"/>
    <col min="4097" max="4097" width="53.85546875" style="104" hidden="1"/>
    <col min="4098" max="4099" width="7.7109375" style="104" hidden="1"/>
    <col min="4100" max="4100" width="8.28515625" style="104" hidden="1"/>
    <col min="4101" max="4101" width="8.42578125" style="104" hidden="1"/>
    <col min="4102" max="4102" width="9" style="104" hidden="1"/>
    <col min="4103" max="4103" width="8" style="104" hidden="1"/>
    <col min="4104" max="4109" width="12.28515625" style="104" hidden="1"/>
    <col min="4110" max="4110" width="11.28515625" style="104" hidden="1"/>
    <col min="4111" max="4352" width="12.28515625" style="104" hidden="1"/>
    <col min="4353" max="4353" width="53.85546875" style="104" hidden="1"/>
    <col min="4354" max="4355" width="7.7109375" style="104" hidden="1"/>
    <col min="4356" max="4356" width="8.28515625" style="104" hidden="1"/>
    <col min="4357" max="4357" width="8.42578125" style="104" hidden="1"/>
    <col min="4358" max="4358" width="9" style="104" hidden="1"/>
    <col min="4359" max="4359" width="8" style="104" hidden="1"/>
    <col min="4360" max="4365" width="12.28515625" style="104" hidden="1"/>
    <col min="4366" max="4366" width="11.28515625" style="104" hidden="1"/>
    <col min="4367" max="4608" width="12.28515625" style="104" hidden="1"/>
    <col min="4609" max="4609" width="53.85546875" style="104" hidden="1"/>
    <col min="4610" max="4611" width="7.7109375" style="104" hidden="1"/>
    <col min="4612" max="4612" width="8.28515625" style="104" hidden="1"/>
    <col min="4613" max="4613" width="8.42578125" style="104" hidden="1"/>
    <col min="4614" max="4614" width="9" style="104" hidden="1"/>
    <col min="4615" max="4615" width="8" style="104" hidden="1"/>
    <col min="4616" max="4621" width="12.28515625" style="104" hidden="1"/>
    <col min="4622" max="4622" width="11.28515625" style="104" hidden="1"/>
    <col min="4623" max="4864" width="12.28515625" style="104" hidden="1"/>
    <col min="4865" max="4865" width="53.85546875" style="104" hidden="1"/>
    <col min="4866" max="4867" width="7.7109375" style="104" hidden="1"/>
    <col min="4868" max="4868" width="8.28515625" style="104" hidden="1"/>
    <col min="4869" max="4869" width="8.42578125" style="104" hidden="1"/>
    <col min="4870" max="4870" width="9" style="104" hidden="1"/>
    <col min="4871" max="4871" width="8" style="104" hidden="1"/>
    <col min="4872" max="4877" width="12.28515625" style="104" hidden="1"/>
    <col min="4878" max="4878" width="11.28515625" style="104" hidden="1"/>
    <col min="4879" max="5120" width="12.28515625" style="104" hidden="1"/>
    <col min="5121" max="5121" width="53.85546875" style="104" hidden="1"/>
    <col min="5122" max="5123" width="7.7109375" style="104" hidden="1"/>
    <col min="5124" max="5124" width="8.28515625" style="104" hidden="1"/>
    <col min="5125" max="5125" width="8.42578125" style="104" hidden="1"/>
    <col min="5126" max="5126" width="9" style="104" hidden="1"/>
    <col min="5127" max="5127" width="8" style="104" hidden="1"/>
    <col min="5128" max="5133" width="12.28515625" style="104" hidden="1"/>
    <col min="5134" max="5134" width="11.28515625" style="104" hidden="1"/>
    <col min="5135" max="5376" width="12.28515625" style="104" hidden="1"/>
    <col min="5377" max="5377" width="53.85546875" style="104" hidden="1"/>
    <col min="5378" max="5379" width="7.7109375" style="104" hidden="1"/>
    <col min="5380" max="5380" width="8.28515625" style="104" hidden="1"/>
    <col min="5381" max="5381" width="8.42578125" style="104" hidden="1"/>
    <col min="5382" max="5382" width="9" style="104" hidden="1"/>
    <col min="5383" max="5383" width="8" style="104" hidden="1"/>
    <col min="5384" max="5389" width="12.28515625" style="104" hidden="1"/>
    <col min="5390" max="5390" width="11.28515625" style="104" hidden="1"/>
    <col min="5391" max="5632" width="12.28515625" style="104" hidden="1"/>
    <col min="5633" max="5633" width="53.85546875" style="104" hidden="1"/>
    <col min="5634" max="5635" width="7.7109375" style="104" hidden="1"/>
    <col min="5636" max="5636" width="8.28515625" style="104" hidden="1"/>
    <col min="5637" max="5637" width="8.42578125" style="104" hidden="1"/>
    <col min="5638" max="5638" width="9" style="104" hidden="1"/>
    <col min="5639" max="5639" width="8" style="104" hidden="1"/>
    <col min="5640" max="5645" width="12.28515625" style="104" hidden="1"/>
    <col min="5646" max="5646" width="11.28515625" style="104" hidden="1"/>
    <col min="5647" max="5888" width="12.28515625" style="104" hidden="1"/>
    <col min="5889" max="5889" width="53.85546875" style="104" hidden="1"/>
    <col min="5890" max="5891" width="7.7109375" style="104" hidden="1"/>
    <col min="5892" max="5892" width="8.28515625" style="104" hidden="1"/>
    <col min="5893" max="5893" width="8.42578125" style="104" hidden="1"/>
    <col min="5894" max="5894" width="9" style="104" hidden="1"/>
    <col min="5895" max="5895" width="8" style="104" hidden="1"/>
    <col min="5896" max="5901" width="12.28515625" style="104" hidden="1"/>
    <col min="5902" max="5902" width="11.28515625" style="104" hidden="1"/>
    <col min="5903" max="6144" width="12.28515625" style="104" hidden="1"/>
    <col min="6145" max="6145" width="53.85546875" style="104" hidden="1"/>
    <col min="6146" max="6147" width="7.7109375" style="104" hidden="1"/>
    <col min="6148" max="6148" width="8.28515625" style="104" hidden="1"/>
    <col min="6149" max="6149" width="8.42578125" style="104" hidden="1"/>
    <col min="6150" max="6150" width="9" style="104" hidden="1"/>
    <col min="6151" max="6151" width="8" style="104" hidden="1"/>
    <col min="6152" max="6157" width="12.28515625" style="104" hidden="1"/>
    <col min="6158" max="6158" width="11.28515625" style="104" hidden="1"/>
    <col min="6159" max="6400" width="12.28515625" style="104" hidden="1"/>
    <col min="6401" max="6401" width="53.85546875" style="104" hidden="1"/>
    <col min="6402" max="6403" width="7.7109375" style="104" hidden="1"/>
    <col min="6404" max="6404" width="8.28515625" style="104" hidden="1"/>
    <col min="6405" max="6405" width="8.42578125" style="104" hidden="1"/>
    <col min="6406" max="6406" width="9" style="104" hidden="1"/>
    <col min="6407" max="6407" width="8" style="104" hidden="1"/>
    <col min="6408" max="6413" width="12.28515625" style="104" hidden="1"/>
    <col min="6414" max="6414" width="11.28515625" style="104" hidden="1"/>
    <col min="6415" max="6656" width="12.28515625" style="104" hidden="1"/>
    <col min="6657" max="6657" width="53.85546875" style="104" hidden="1"/>
    <col min="6658" max="6659" width="7.7109375" style="104" hidden="1"/>
    <col min="6660" max="6660" width="8.28515625" style="104" hidden="1"/>
    <col min="6661" max="6661" width="8.42578125" style="104" hidden="1"/>
    <col min="6662" max="6662" width="9" style="104" hidden="1"/>
    <col min="6663" max="6663" width="8" style="104" hidden="1"/>
    <col min="6664" max="6669" width="12.28515625" style="104" hidden="1"/>
    <col min="6670" max="6670" width="11.28515625" style="104" hidden="1"/>
    <col min="6671" max="6912" width="12.28515625" style="104" hidden="1"/>
    <col min="6913" max="6913" width="53.85546875" style="104" hidden="1"/>
    <col min="6914" max="6915" width="7.7109375" style="104" hidden="1"/>
    <col min="6916" max="6916" width="8.28515625" style="104" hidden="1"/>
    <col min="6917" max="6917" width="8.42578125" style="104" hidden="1"/>
    <col min="6918" max="6918" width="9" style="104" hidden="1"/>
    <col min="6919" max="6919" width="8" style="104" hidden="1"/>
    <col min="6920" max="6925" width="12.28515625" style="104" hidden="1"/>
    <col min="6926" max="6926" width="11.28515625" style="104" hidden="1"/>
    <col min="6927" max="7168" width="12.28515625" style="104" hidden="1"/>
    <col min="7169" max="7169" width="53.85546875" style="104" hidden="1"/>
    <col min="7170" max="7171" width="7.7109375" style="104" hidden="1"/>
    <col min="7172" max="7172" width="8.28515625" style="104" hidden="1"/>
    <col min="7173" max="7173" width="8.42578125" style="104" hidden="1"/>
    <col min="7174" max="7174" width="9" style="104" hidden="1"/>
    <col min="7175" max="7175" width="8" style="104" hidden="1"/>
    <col min="7176" max="7181" width="12.28515625" style="104" hidden="1"/>
    <col min="7182" max="7182" width="11.28515625" style="104" hidden="1"/>
    <col min="7183" max="7424" width="12.28515625" style="104" hidden="1"/>
    <col min="7425" max="7425" width="53.85546875" style="104" hidden="1"/>
    <col min="7426" max="7427" width="7.7109375" style="104" hidden="1"/>
    <col min="7428" max="7428" width="8.28515625" style="104" hidden="1"/>
    <col min="7429" max="7429" width="8.42578125" style="104" hidden="1"/>
    <col min="7430" max="7430" width="9" style="104" hidden="1"/>
    <col min="7431" max="7431" width="8" style="104" hidden="1"/>
    <col min="7432" max="7437" width="12.28515625" style="104" hidden="1"/>
    <col min="7438" max="7438" width="11.28515625" style="104" hidden="1"/>
    <col min="7439" max="7680" width="12.28515625" style="104" hidden="1"/>
    <col min="7681" max="7681" width="53.85546875" style="104" hidden="1"/>
    <col min="7682" max="7683" width="7.7109375" style="104" hidden="1"/>
    <col min="7684" max="7684" width="8.28515625" style="104" hidden="1"/>
    <col min="7685" max="7685" width="8.42578125" style="104" hidden="1"/>
    <col min="7686" max="7686" width="9" style="104" hidden="1"/>
    <col min="7687" max="7687" width="8" style="104" hidden="1"/>
    <col min="7688" max="7693" width="12.28515625" style="104" hidden="1"/>
    <col min="7694" max="7694" width="11.28515625" style="104" hidden="1"/>
    <col min="7695" max="7936" width="12.28515625" style="104" hidden="1"/>
    <col min="7937" max="7937" width="53.85546875" style="104" hidden="1"/>
    <col min="7938" max="7939" width="7.7109375" style="104" hidden="1"/>
    <col min="7940" max="7940" width="8.28515625" style="104" hidden="1"/>
    <col min="7941" max="7941" width="8.42578125" style="104" hidden="1"/>
    <col min="7942" max="7942" width="9" style="104" hidden="1"/>
    <col min="7943" max="7943" width="8" style="104" hidden="1"/>
    <col min="7944" max="7949" width="12.28515625" style="104" hidden="1"/>
    <col min="7950" max="7950" width="11.28515625" style="104" hidden="1"/>
    <col min="7951" max="8192" width="12.28515625" style="104" hidden="1"/>
    <col min="8193" max="8193" width="53.85546875" style="104" hidden="1"/>
    <col min="8194" max="8195" width="7.7109375" style="104" hidden="1"/>
    <col min="8196" max="8196" width="8.28515625" style="104" hidden="1"/>
    <col min="8197" max="8197" width="8.42578125" style="104" hidden="1"/>
    <col min="8198" max="8198" width="9" style="104" hidden="1"/>
    <col min="8199" max="8199" width="8" style="104" hidden="1"/>
    <col min="8200" max="8205" width="12.28515625" style="104" hidden="1"/>
    <col min="8206" max="8206" width="11.28515625" style="104" hidden="1"/>
    <col min="8207" max="8448" width="12.28515625" style="104" hidden="1"/>
    <col min="8449" max="8449" width="53.85546875" style="104" hidden="1"/>
    <col min="8450" max="8451" width="7.7109375" style="104" hidden="1"/>
    <col min="8452" max="8452" width="8.28515625" style="104" hidden="1"/>
    <col min="8453" max="8453" width="8.42578125" style="104" hidden="1"/>
    <col min="8454" max="8454" width="9" style="104" hidden="1"/>
    <col min="8455" max="8455" width="8" style="104" hidden="1"/>
    <col min="8456" max="8461" width="12.28515625" style="104" hidden="1"/>
    <col min="8462" max="8462" width="11.28515625" style="104" hidden="1"/>
    <col min="8463" max="8704" width="12.28515625" style="104" hidden="1"/>
    <col min="8705" max="8705" width="53.85546875" style="104" hidden="1"/>
    <col min="8706" max="8707" width="7.7109375" style="104" hidden="1"/>
    <col min="8708" max="8708" width="8.28515625" style="104" hidden="1"/>
    <col min="8709" max="8709" width="8.42578125" style="104" hidden="1"/>
    <col min="8710" max="8710" width="9" style="104" hidden="1"/>
    <col min="8711" max="8711" width="8" style="104" hidden="1"/>
    <col min="8712" max="8717" width="12.28515625" style="104" hidden="1"/>
    <col min="8718" max="8718" width="11.28515625" style="104" hidden="1"/>
    <col min="8719" max="8960" width="12.28515625" style="104" hidden="1"/>
    <col min="8961" max="8961" width="53.85546875" style="104" hidden="1"/>
    <col min="8962" max="8963" width="7.7109375" style="104" hidden="1"/>
    <col min="8964" max="8964" width="8.28515625" style="104" hidden="1"/>
    <col min="8965" max="8965" width="8.42578125" style="104" hidden="1"/>
    <col min="8966" max="8966" width="9" style="104" hidden="1"/>
    <col min="8967" max="8967" width="8" style="104" hidden="1"/>
    <col min="8968" max="8973" width="12.28515625" style="104" hidden="1"/>
    <col min="8974" max="8974" width="11.28515625" style="104" hidden="1"/>
    <col min="8975" max="9216" width="12.28515625" style="104" hidden="1"/>
    <col min="9217" max="9217" width="53.85546875" style="104" hidden="1"/>
    <col min="9218" max="9219" width="7.7109375" style="104" hidden="1"/>
    <col min="9220" max="9220" width="8.28515625" style="104" hidden="1"/>
    <col min="9221" max="9221" width="8.42578125" style="104" hidden="1"/>
    <col min="9222" max="9222" width="9" style="104" hidden="1"/>
    <col min="9223" max="9223" width="8" style="104" hidden="1"/>
    <col min="9224" max="9229" width="12.28515625" style="104" hidden="1"/>
    <col min="9230" max="9230" width="11.28515625" style="104" hidden="1"/>
    <col min="9231" max="9472" width="12.28515625" style="104" hidden="1"/>
    <col min="9473" max="9473" width="53.85546875" style="104" hidden="1"/>
    <col min="9474" max="9475" width="7.7109375" style="104" hidden="1"/>
    <col min="9476" max="9476" width="8.28515625" style="104" hidden="1"/>
    <col min="9477" max="9477" width="8.42578125" style="104" hidden="1"/>
    <col min="9478" max="9478" width="9" style="104" hidden="1"/>
    <col min="9479" max="9479" width="8" style="104" hidden="1"/>
    <col min="9480" max="9485" width="12.28515625" style="104" hidden="1"/>
    <col min="9486" max="9486" width="11.28515625" style="104" hidden="1"/>
    <col min="9487" max="9728" width="12.28515625" style="104" hidden="1"/>
    <col min="9729" max="9729" width="53.85546875" style="104" hidden="1"/>
    <col min="9730" max="9731" width="7.7109375" style="104" hidden="1"/>
    <col min="9732" max="9732" width="8.28515625" style="104" hidden="1"/>
    <col min="9733" max="9733" width="8.42578125" style="104" hidden="1"/>
    <col min="9734" max="9734" width="9" style="104" hidden="1"/>
    <col min="9735" max="9735" width="8" style="104" hidden="1"/>
    <col min="9736" max="9741" width="12.28515625" style="104" hidden="1"/>
    <col min="9742" max="9742" width="11.28515625" style="104" hidden="1"/>
    <col min="9743" max="9984" width="12.28515625" style="104" hidden="1"/>
    <col min="9985" max="9985" width="53.85546875" style="104" hidden="1"/>
    <col min="9986" max="9987" width="7.7109375" style="104" hidden="1"/>
    <col min="9988" max="9988" width="8.28515625" style="104" hidden="1"/>
    <col min="9989" max="9989" width="8.42578125" style="104" hidden="1"/>
    <col min="9990" max="9990" width="9" style="104" hidden="1"/>
    <col min="9991" max="9991" width="8" style="104" hidden="1"/>
    <col min="9992" max="9997" width="12.28515625" style="104" hidden="1"/>
    <col min="9998" max="9998" width="11.28515625" style="104" hidden="1"/>
    <col min="9999" max="10240" width="12.28515625" style="104" hidden="1"/>
    <col min="10241" max="10241" width="53.85546875" style="104" hidden="1"/>
    <col min="10242" max="10243" width="7.7109375" style="104" hidden="1"/>
    <col min="10244" max="10244" width="8.28515625" style="104" hidden="1"/>
    <col min="10245" max="10245" width="8.42578125" style="104" hidden="1"/>
    <col min="10246" max="10246" width="9" style="104" hidden="1"/>
    <col min="10247" max="10247" width="8" style="104" hidden="1"/>
    <col min="10248" max="10253" width="12.28515625" style="104" hidden="1"/>
    <col min="10254" max="10254" width="11.28515625" style="104" hidden="1"/>
    <col min="10255" max="10496" width="12.28515625" style="104" hidden="1"/>
    <col min="10497" max="10497" width="53.85546875" style="104" hidden="1"/>
    <col min="10498" max="10499" width="7.7109375" style="104" hidden="1"/>
    <col min="10500" max="10500" width="8.28515625" style="104" hidden="1"/>
    <col min="10501" max="10501" width="8.42578125" style="104" hidden="1"/>
    <col min="10502" max="10502" width="9" style="104" hidden="1"/>
    <col min="10503" max="10503" width="8" style="104" hidden="1"/>
    <col min="10504" max="10509" width="12.28515625" style="104" hidden="1"/>
    <col min="10510" max="10510" width="11.28515625" style="104" hidden="1"/>
    <col min="10511" max="10752" width="12.28515625" style="104" hidden="1"/>
    <col min="10753" max="10753" width="53.85546875" style="104" hidden="1"/>
    <col min="10754" max="10755" width="7.7109375" style="104" hidden="1"/>
    <col min="10756" max="10756" width="8.28515625" style="104" hidden="1"/>
    <col min="10757" max="10757" width="8.42578125" style="104" hidden="1"/>
    <col min="10758" max="10758" width="9" style="104" hidden="1"/>
    <col min="10759" max="10759" width="8" style="104" hidden="1"/>
    <col min="10760" max="10765" width="12.28515625" style="104" hidden="1"/>
    <col min="10766" max="10766" width="11.28515625" style="104" hidden="1"/>
    <col min="10767" max="11008" width="12.28515625" style="104" hidden="1"/>
    <col min="11009" max="11009" width="53.85546875" style="104" hidden="1"/>
    <col min="11010" max="11011" width="7.7109375" style="104" hidden="1"/>
    <col min="11012" max="11012" width="8.28515625" style="104" hidden="1"/>
    <col min="11013" max="11013" width="8.42578125" style="104" hidden="1"/>
    <col min="11014" max="11014" width="9" style="104" hidden="1"/>
    <col min="11015" max="11015" width="8" style="104" hidden="1"/>
    <col min="11016" max="11021" width="12.28515625" style="104" hidden="1"/>
    <col min="11022" max="11022" width="11.28515625" style="104" hidden="1"/>
    <col min="11023" max="11264" width="12.28515625" style="104" hidden="1"/>
    <col min="11265" max="11265" width="53.85546875" style="104" hidden="1"/>
    <col min="11266" max="11267" width="7.7109375" style="104" hidden="1"/>
    <col min="11268" max="11268" width="8.28515625" style="104" hidden="1"/>
    <col min="11269" max="11269" width="8.42578125" style="104" hidden="1"/>
    <col min="11270" max="11270" width="9" style="104" hidden="1"/>
    <col min="11271" max="11271" width="8" style="104" hidden="1"/>
    <col min="11272" max="11277" width="12.28515625" style="104" hidden="1"/>
    <col min="11278" max="11278" width="11.28515625" style="104" hidden="1"/>
    <col min="11279" max="11520" width="12.28515625" style="104" hidden="1"/>
    <col min="11521" max="11521" width="53.85546875" style="104" hidden="1"/>
    <col min="11522" max="11523" width="7.7109375" style="104" hidden="1"/>
    <col min="11524" max="11524" width="8.28515625" style="104" hidden="1"/>
    <col min="11525" max="11525" width="8.42578125" style="104" hidden="1"/>
    <col min="11526" max="11526" width="9" style="104" hidden="1"/>
    <col min="11527" max="11527" width="8" style="104" hidden="1"/>
    <col min="11528" max="11533" width="12.28515625" style="104" hidden="1"/>
    <col min="11534" max="11534" width="11.28515625" style="104" hidden="1"/>
    <col min="11535" max="11776" width="12.28515625" style="104" hidden="1"/>
    <col min="11777" max="11777" width="53.85546875" style="104" hidden="1"/>
    <col min="11778" max="11779" width="7.7109375" style="104" hidden="1"/>
    <col min="11780" max="11780" width="8.28515625" style="104" hidden="1"/>
    <col min="11781" max="11781" width="8.42578125" style="104" hidden="1"/>
    <col min="11782" max="11782" width="9" style="104" hidden="1"/>
    <col min="11783" max="11783" width="8" style="104" hidden="1"/>
    <col min="11784" max="11789" width="12.28515625" style="104" hidden="1"/>
    <col min="11790" max="11790" width="11.28515625" style="104" hidden="1"/>
    <col min="11791" max="12032" width="12.28515625" style="104" hidden="1"/>
    <col min="12033" max="12033" width="53.85546875" style="104" hidden="1"/>
    <col min="12034" max="12035" width="7.7109375" style="104" hidden="1"/>
    <col min="12036" max="12036" width="8.28515625" style="104" hidden="1"/>
    <col min="12037" max="12037" width="8.42578125" style="104" hidden="1"/>
    <col min="12038" max="12038" width="9" style="104" hidden="1"/>
    <col min="12039" max="12039" width="8" style="104" hidden="1"/>
    <col min="12040" max="12045" width="12.28515625" style="104" hidden="1"/>
    <col min="12046" max="12046" width="11.28515625" style="104" hidden="1"/>
    <col min="12047" max="12288" width="12.28515625" style="104" hidden="1"/>
    <col min="12289" max="12289" width="53.85546875" style="104" hidden="1"/>
    <col min="12290" max="12291" width="7.7109375" style="104" hidden="1"/>
    <col min="12292" max="12292" width="8.28515625" style="104" hidden="1"/>
    <col min="12293" max="12293" width="8.42578125" style="104" hidden="1"/>
    <col min="12294" max="12294" width="9" style="104" hidden="1"/>
    <col min="12295" max="12295" width="8" style="104" hidden="1"/>
    <col min="12296" max="12301" width="12.28515625" style="104" hidden="1"/>
    <col min="12302" max="12302" width="11.28515625" style="104" hidden="1"/>
    <col min="12303" max="12544" width="12.28515625" style="104" hidden="1"/>
    <col min="12545" max="12545" width="53.85546875" style="104" hidden="1"/>
    <col min="12546" max="12547" width="7.7109375" style="104" hidden="1"/>
    <col min="12548" max="12548" width="8.28515625" style="104" hidden="1"/>
    <col min="12549" max="12549" width="8.42578125" style="104" hidden="1"/>
    <col min="12550" max="12550" width="9" style="104" hidden="1"/>
    <col min="12551" max="12551" width="8" style="104" hidden="1"/>
    <col min="12552" max="12557" width="12.28515625" style="104" hidden="1"/>
    <col min="12558" max="12558" width="11.28515625" style="104" hidden="1"/>
    <col min="12559" max="12800" width="12.28515625" style="104" hidden="1"/>
    <col min="12801" max="12801" width="53.85546875" style="104" hidden="1"/>
    <col min="12802" max="12803" width="7.7109375" style="104" hidden="1"/>
    <col min="12804" max="12804" width="8.28515625" style="104" hidden="1"/>
    <col min="12805" max="12805" width="8.42578125" style="104" hidden="1"/>
    <col min="12806" max="12806" width="9" style="104" hidden="1"/>
    <col min="12807" max="12807" width="8" style="104" hidden="1"/>
    <col min="12808" max="12813" width="12.28515625" style="104" hidden="1"/>
    <col min="12814" max="12814" width="11.28515625" style="104" hidden="1"/>
    <col min="12815" max="13056" width="12.28515625" style="104" hidden="1"/>
    <col min="13057" max="13057" width="53.85546875" style="104" hidden="1"/>
    <col min="13058" max="13059" width="7.7109375" style="104" hidden="1"/>
    <col min="13060" max="13060" width="8.28515625" style="104" hidden="1"/>
    <col min="13061" max="13061" width="8.42578125" style="104" hidden="1"/>
    <col min="13062" max="13062" width="9" style="104" hidden="1"/>
    <col min="13063" max="13063" width="8" style="104" hidden="1"/>
    <col min="13064" max="13069" width="12.28515625" style="104" hidden="1"/>
    <col min="13070" max="13070" width="11.28515625" style="104" hidden="1"/>
    <col min="13071" max="13312" width="12.28515625" style="104" hidden="1"/>
    <col min="13313" max="13313" width="53.85546875" style="104" hidden="1"/>
    <col min="13314" max="13315" width="7.7109375" style="104" hidden="1"/>
    <col min="13316" max="13316" width="8.28515625" style="104" hidden="1"/>
    <col min="13317" max="13317" width="8.42578125" style="104" hidden="1"/>
    <col min="13318" max="13318" width="9" style="104" hidden="1"/>
    <col min="13319" max="13319" width="8" style="104" hidden="1"/>
    <col min="13320" max="13325" width="12.28515625" style="104" hidden="1"/>
    <col min="13326" max="13326" width="11.28515625" style="104" hidden="1"/>
    <col min="13327" max="13568" width="12.28515625" style="104" hidden="1"/>
    <col min="13569" max="13569" width="53.85546875" style="104" hidden="1"/>
    <col min="13570" max="13571" width="7.7109375" style="104" hidden="1"/>
    <col min="13572" max="13572" width="8.28515625" style="104" hidden="1"/>
    <col min="13573" max="13573" width="8.42578125" style="104" hidden="1"/>
    <col min="13574" max="13574" width="9" style="104" hidden="1"/>
    <col min="13575" max="13575" width="8" style="104" hidden="1"/>
    <col min="13576" max="13581" width="12.28515625" style="104" hidden="1"/>
    <col min="13582" max="13582" width="11.28515625" style="104" hidden="1"/>
    <col min="13583" max="13824" width="12.28515625" style="104" hidden="1"/>
    <col min="13825" max="13825" width="53.85546875" style="104" hidden="1"/>
    <col min="13826" max="13827" width="7.7109375" style="104" hidden="1"/>
    <col min="13828" max="13828" width="8.28515625" style="104" hidden="1"/>
    <col min="13829" max="13829" width="8.42578125" style="104" hidden="1"/>
    <col min="13830" max="13830" width="9" style="104" hidden="1"/>
    <col min="13831" max="13831" width="8" style="104" hidden="1"/>
    <col min="13832" max="13837" width="12.28515625" style="104" hidden="1"/>
    <col min="13838" max="13838" width="11.28515625" style="104" hidden="1"/>
    <col min="13839" max="14080" width="12.28515625" style="104" hidden="1"/>
    <col min="14081" max="14081" width="53.85546875" style="104" hidden="1"/>
    <col min="14082" max="14083" width="7.7109375" style="104" hidden="1"/>
    <col min="14084" max="14084" width="8.28515625" style="104" hidden="1"/>
    <col min="14085" max="14085" width="8.42578125" style="104" hidden="1"/>
    <col min="14086" max="14086" width="9" style="104" hidden="1"/>
    <col min="14087" max="14087" width="8" style="104" hidden="1"/>
    <col min="14088" max="14093" width="12.28515625" style="104" hidden="1"/>
    <col min="14094" max="14094" width="11.28515625" style="104" hidden="1"/>
    <col min="14095" max="14336" width="12.28515625" style="104" hidden="1"/>
    <col min="14337" max="14337" width="53.85546875" style="104" hidden="1"/>
    <col min="14338" max="14339" width="7.7109375" style="104" hidden="1"/>
    <col min="14340" max="14340" width="8.28515625" style="104" hidden="1"/>
    <col min="14341" max="14341" width="8.42578125" style="104" hidden="1"/>
    <col min="14342" max="14342" width="9" style="104" hidden="1"/>
    <col min="14343" max="14343" width="8" style="104" hidden="1"/>
    <col min="14344" max="14349" width="12.28515625" style="104" hidden="1"/>
    <col min="14350" max="14350" width="11.28515625" style="104" hidden="1"/>
    <col min="14351" max="14592" width="12.28515625" style="104" hidden="1"/>
    <col min="14593" max="14593" width="53.85546875" style="104" hidden="1"/>
    <col min="14594" max="14595" width="7.7109375" style="104" hidden="1"/>
    <col min="14596" max="14596" width="8.28515625" style="104" hidden="1"/>
    <col min="14597" max="14597" width="8.42578125" style="104" hidden="1"/>
    <col min="14598" max="14598" width="9" style="104" hidden="1"/>
    <col min="14599" max="14599" width="8" style="104" hidden="1"/>
    <col min="14600" max="14605" width="12.28515625" style="104" hidden="1"/>
    <col min="14606" max="14606" width="11.28515625" style="104" hidden="1"/>
    <col min="14607" max="14848" width="12.28515625" style="104" hidden="1"/>
    <col min="14849" max="14849" width="53.85546875" style="104" hidden="1"/>
    <col min="14850" max="14851" width="7.7109375" style="104" hidden="1"/>
    <col min="14852" max="14852" width="8.28515625" style="104" hidden="1"/>
    <col min="14853" max="14853" width="8.42578125" style="104" hidden="1"/>
    <col min="14854" max="14854" width="9" style="104" hidden="1"/>
    <col min="14855" max="14855" width="8" style="104" hidden="1"/>
    <col min="14856" max="14861" width="12.28515625" style="104" hidden="1"/>
    <col min="14862" max="14862" width="11.28515625" style="104" hidden="1"/>
    <col min="14863" max="15104" width="12.28515625" style="104" hidden="1"/>
    <col min="15105" max="15105" width="53.85546875" style="104" hidden="1"/>
    <col min="15106" max="15107" width="7.7109375" style="104" hidden="1"/>
    <col min="15108" max="15108" width="8.28515625" style="104" hidden="1"/>
    <col min="15109" max="15109" width="8.42578125" style="104" hidden="1"/>
    <col min="15110" max="15110" width="9" style="104" hidden="1"/>
    <col min="15111" max="15111" width="8" style="104" hidden="1"/>
    <col min="15112" max="15117" width="12.28515625" style="104" hidden="1"/>
    <col min="15118" max="15118" width="11.28515625" style="104" hidden="1"/>
    <col min="15119" max="15360" width="12.28515625" style="104" hidden="1"/>
    <col min="15361" max="15361" width="53.85546875" style="104" hidden="1"/>
    <col min="15362" max="15363" width="7.7109375" style="104" hidden="1"/>
    <col min="15364" max="15364" width="8.28515625" style="104" hidden="1"/>
    <col min="15365" max="15365" width="8.42578125" style="104" hidden="1"/>
    <col min="15366" max="15366" width="9" style="104" hidden="1"/>
    <col min="15367" max="15367" width="8" style="104" hidden="1"/>
    <col min="15368" max="15373" width="12.28515625" style="104" hidden="1"/>
    <col min="15374" max="15374" width="11.28515625" style="104" hidden="1"/>
    <col min="15375" max="15616" width="12.28515625" style="104" hidden="1"/>
    <col min="15617" max="15617" width="53.85546875" style="104" hidden="1"/>
    <col min="15618" max="15619" width="7.7109375" style="104" hidden="1"/>
    <col min="15620" max="15620" width="8.28515625" style="104" hidden="1"/>
    <col min="15621" max="15621" width="8.42578125" style="104" hidden="1"/>
    <col min="15622" max="15622" width="9" style="104" hidden="1"/>
    <col min="15623" max="15623" width="8" style="104" hidden="1"/>
    <col min="15624" max="15629" width="12.28515625" style="104" hidden="1"/>
    <col min="15630" max="15630" width="11.28515625" style="104" hidden="1"/>
    <col min="15631" max="15872" width="12.28515625" style="104" hidden="1"/>
    <col min="15873" max="15873" width="53.85546875" style="104" hidden="1"/>
    <col min="15874" max="15875" width="7.7109375" style="104" hidden="1"/>
    <col min="15876" max="15876" width="8.28515625" style="104" hidden="1"/>
    <col min="15877" max="15877" width="8.42578125" style="104" hidden="1"/>
    <col min="15878" max="15878" width="9" style="104" hidden="1"/>
    <col min="15879" max="15879" width="8" style="104" hidden="1"/>
    <col min="15880" max="15885" width="12.28515625" style="104" hidden="1"/>
    <col min="15886" max="15886" width="11.28515625" style="104" hidden="1"/>
    <col min="15887" max="16128" width="12.28515625" style="104" hidden="1"/>
    <col min="16129" max="16129" width="53.85546875" style="104" hidden="1"/>
    <col min="16130" max="16131" width="7.7109375" style="104" hidden="1"/>
    <col min="16132" max="16132" width="8.28515625" style="104" hidden="1"/>
    <col min="16133" max="16133" width="8.42578125" style="104" hidden="1"/>
    <col min="16134" max="16134" width="9" style="104" hidden="1"/>
    <col min="16135" max="16135" width="8" style="104" hidden="1"/>
    <col min="16136" max="16141" width="12.28515625" style="104" hidden="1"/>
    <col min="16142" max="16142" width="11.28515625" style="104" hidden="1"/>
    <col min="16143" max="16384" width="12.28515625" style="104" hidden="1"/>
  </cols>
  <sheetData>
    <row r="1" spans="1:246" ht="15.75" x14ac:dyDescent="0.25">
      <c r="A1" s="100"/>
      <c r="B1" s="100"/>
      <c r="C1" s="143"/>
      <c r="D1" s="100"/>
      <c r="E1" s="100"/>
      <c r="F1" s="100"/>
      <c r="G1" s="100"/>
      <c r="H1" s="100"/>
      <c r="I1" s="100"/>
      <c r="N1" s="100"/>
      <c r="P1" s="193" t="s">
        <v>192</v>
      </c>
    </row>
    <row r="2" spans="1:246" ht="15.75" x14ac:dyDescent="0.25">
      <c r="A2" s="100"/>
      <c r="B2" s="100"/>
      <c r="C2" s="143"/>
      <c r="D2" s="100"/>
      <c r="E2" s="100"/>
      <c r="F2" s="100"/>
      <c r="G2" s="100"/>
      <c r="H2" s="100"/>
      <c r="I2" s="100"/>
      <c r="N2" s="100"/>
      <c r="P2" s="193"/>
    </row>
    <row r="3" spans="1:246" ht="15.75" x14ac:dyDescent="0.25">
      <c r="A3" s="100"/>
      <c r="B3" s="100"/>
      <c r="C3" s="143"/>
      <c r="D3" s="100"/>
      <c r="E3" s="100"/>
      <c r="F3" s="100"/>
      <c r="G3" s="100"/>
      <c r="H3" s="100"/>
      <c r="I3" s="100"/>
      <c r="N3" s="100"/>
      <c r="P3" s="193"/>
    </row>
    <row r="4" spans="1:246" ht="15.75" customHeight="1" x14ac:dyDescent="0.3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246" ht="18.75" customHeight="1" x14ac:dyDescent="0.25">
      <c r="A5" s="243" t="s">
        <v>143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246" ht="8.1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246" ht="18.75" customHeight="1" x14ac:dyDescent="0.3">
      <c r="A7" s="242" t="s">
        <v>144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246" ht="18.75" x14ac:dyDescent="0.3">
      <c r="A8" s="242" t="s">
        <v>145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</row>
    <row r="9" spans="1:246" ht="6" customHeight="1" thickBot="1" x14ac:dyDescent="0.25">
      <c r="A9" s="109"/>
      <c r="B9" s="109"/>
      <c r="C9" s="109"/>
      <c r="D9" s="109"/>
      <c r="E9" s="109"/>
      <c r="G9" s="109"/>
      <c r="H9" s="109"/>
      <c r="N9" s="109"/>
    </row>
    <row r="10" spans="1:246" s="3" customFormat="1" ht="16.5" customHeight="1" x14ac:dyDescent="0.2">
      <c r="A10" s="244" t="s">
        <v>146</v>
      </c>
      <c r="B10" s="240" t="s">
        <v>159</v>
      </c>
      <c r="C10" s="240" t="s">
        <v>160</v>
      </c>
      <c r="D10" s="240" t="s">
        <v>161</v>
      </c>
      <c r="E10" s="240" t="s">
        <v>162</v>
      </c>
      <c r="F10" s="240" t="s">
        <v>163</v>
      </c>
      <c r="G10" s="240" t="s">
        <v>164</v>
      </c>
      <c r="H10" s="240" t="s">
        <v>165</v>
      </c>
      <c r="I10" s="240" t="s">
        <v>166</v>
      </c>
      <c r="J10" s="240" t="s">
        <v>167</v>
      </c>
      <c r="K10" s="240" t="s">
        <v>168</v>
      </c>
      <c r="L10" s="240" t="s">
        <v>169</v>
      </c>
      <c r="M10" s="240" t="s">
        <v>170</v>
      </c>
      <c r="N10" s="240" t="s">
        <v>171</v>
      </c>
    </row>
    <row r="11" spans="1:246" s="3" customFormat="1" ht="23.25" customHeight="1" thickBot="1" x14ac:dyDescent="0.25">
      <c r="A11" s="245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1:246" s="10" customFormat="1" ht="12.75" x14ac:dyDescent="0.2">
      <c r="A12" s="8" t="s">
        <v>1</v>
      </c>
      <c r="B12" s="116">
        <f>IF($A12="","",'Situfin serie mensual'!JF2)</f>
        <v>4124.7435304300006</v>
      </c>
      <c r="C12" s="116">
        <f>IF($A12="","",'Situfin serie mensual'!JG2)</f>
        <v>3851.9921639730001</v>
      </c>
      <c r="D12" s="116">
        <f>IF($A12="","",'Situfin serie mensual'!JH2)</f>
        <v>4027.712574317</v>
      </c>
      <c r="E12" s="116">
        <f>IF($A12="","",'Situfin serie mensual'!JI2)</f>
        <v>5200.3202970900002</v>
      </c>
      <c r="F12" s="116">
        <f>IF($A12="","",'Situfin serie mensual'!JJ2)</f>
        <v>0</v>
      </c>
      <c r="G12" s="116">
        <f>IF($A12="","",'Situfin serie mensual'!JK2)</f>
        <v>0</v>
      </c>
      <c r="H12" s="116">
        <f>IF($A12="","",'Situfin serie mensual'!JL2)</f>
        <v>0</v>
      </c>
      <c r="I12" s="116">
        <f>IF($A12="","",'Situfin serie mensual'!JM2)</f>
        <v>0</v>
      </c>
      <c r="J12" s="116">
        <f>IF($A12="","",'Situfin serie mensual'!JN2)</f>
        <v>0</v>
      </c>
      <c r="K12" s="116">
        <f>IF($A12="","",'Situfin serie mensual'!JO2)</f>
        <v>0</v>
      </c>
      <c r="L12" s="116">
        <f>IF($A12="","",'Situfin serie mensual'!JP2)</f>
        <v>0</v>
      </c>
      <c r="M12" s="116">
        <f>IF($A12="","",'Situfin serie mensual'!JQ2)</f>
        <v>0</v>
      </c>
      <c r="N12" s="116">
        <f>+SUM(B12:M12)</f>
        <v>17204.768565810002</v>
      </c>
    </row>
    <row r="13" spans="1:246" s="10" customFormat="1" ht="12.75" x14ac:dyDescent="0.2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6" s="10" customFormat="1" ht="12.75" outlineLevel="1" x14ac:dyDescent="0.2">
      <c r="A14" s="10" t="s">
        <v>94</v>
      </c>
      <c r="B14" s="116">
        <f>IF($A14="","",'Situfin serie mensual'!JF4)</f>
        <v>3170.3205065040006</v>
      </c>
      <c r="C14" s="116">
        <f>IF($A14="","",'Situfin serie mensual'!JG4)</f>
        <v>2713.4203845080001</v>
      </c>
      <c r="D14" s="116">
        <f>IF($A14="","",'Situfin serie mensual'!JH4)</f>
        <v>3061.0368464620001</v>
      </c>
      <c r="E14" s="116">
        <f>IF($A14="","",'Situfin serie mensual'!JI4)</f>
        <v>4334.1679977599997</v>
      </c>
      <c r="F14" s="116">
        <f>IF($A14="","",'Situfin serie mensual'!JJ4)</f>
        <v>0</v>
      </c>
      <c r="G14" s="116">
        <f>IF($A14="","",'Situfin serie mensual'!JK4)</f>
        <v>0</v>
      </c>
      <c r="H14" s="116">
        <f>IF($A14="","",'Situfin serie mensual'!JL4)</f>
        <v>0</v>
      </c>
      <c r="I14" s="116">
        <f>IF($A14="","",'Situfin serie mensual'!JM4)</f>
        <v>0</v>
      </c>
      <c r="J14" s="116">
        <f>IF($A14="","",'Situfin serie mensual'!JN4)</f>
        <v>0</v>
      </c>
      <c r="K14" s="116">
        <f>IF($A14="","",'Situfin serie mensual'!JO4)</f>
        <v>0</v>
      </c>
      <c r="L14" s="116">
        <f>IF($A14="","",'Situfin serie mensual'!JP4)</f>
        <v>0</v>
      </c>
      <c r="M14" s="116">
        <f>IF($A14="","",'Situfin serie mensual'!JQ4)</f>
        <v>0</v>
      </c>
      <c r="N14" s="116">
        <f>+SUM(B14:M14)</f>
        <v>13278.945735234001</v>
      </c>
      <c r="O14" s="146"/>
      <c r="P14" s="146"/>
      <c r="Q14" s="117"/>
    </row>
    <row r="15" spans="1:246" s="119" customFormat="1" ht="12.75" x14ac:dyDescent="0.2">
      <c r="A15" s="1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0"/>
      <c r="P15" s="10"/>
    </row>
    <row r="16" spans="1:246" s="16" customFormat="1" ht="12.75" outlineLevel="2" x14ac:dyDescent="0.2">
      <c r="A16" s="10" t="s">
        <v>10</v>
      </c>
      <c r="B16" s="116">
        <f>IF($A16="","",'Situfin serie mensual'!JF13)</f>
        <v>273.42565705699997</v>
      </c>
      <c r="C16" s="116">
        <f>IF($A16="","",'Situfin serie mensual'!JG13)</f>
        <v>277.19387290000003</v>
      </c>
      <c r="D16" s="116">
        <f>IF($A16="","",'Situfin serie mensual'!JH13)</f>
        <v>271.668960218</v>
      </c>
      <c r="E16" s="116">
        <f>IF($A16="","",'Situfin serie mensual'!JI13)</f>
        <v>297.34299517599999</v>
      </c>
      <c r="F16" s="116">
        <f>IF($A16="","",'Situfin serie mensual'!JJ13)</f>
        <v>0</v>
      </c>
      <c r="G16" s="116">
        <f>IF($A16="","",'Situfin serie mensual'!JK13)</f>
        <v>0</v>
      </c>
      <c r="H16" s="116">
        <f>IF($A16="","",'Situfin serie mensual'!JL13)</f>
        <v>0</v>
      </c>
      <c r="I16" s="116">
        <f>IF($A16="","",'Situfin serie mensual'!JM13)</f>
        <v>0</v>
      </c>
      <c r="J16" s="116">
        <f>IF($A16="","",'Situfin serie mensual'!JN13)</f>
        <v>0</v>
      </c>
      <c r="K16" s="116">
        <f>IF($A16="","",'Situfin serie mensual'!JO13)</f>
        <v>0</v>
      </c>
      <c r="L16" s="116">
        <f>IF($A16="","",'Situfin serie mensual'!JP13)</f>
        <v>0</v>
      </c>
      <c r="M16" s="116">
        <f>IF($A16="","",'Situfin serie mensual'!JQ13)</f>
        <v>0</v>
      </c>
      <c r="N16" s="116">
        <f>+SUM(B16:M16)</f>
        <v>1119.6314853509998</v>
      </c>
      <c r="P16" s="10"/>
    </row>
    <row r="17" spans="1:16" s="119" customFormat="1" ht="12.75" x14ac:dyDescent="0.2">
      <c r="A17" s="13"/>
      <c r="B17" s="118" t="str">
        <f>IF($A17="","",'Situfin serie mensual'!JF14)</f>
        <v/>
      </c>
      <c r="C17" s="118" t="str">
        <f>IF($A17="","",'Situfin serie mensual'!JG14)</f>
        <v/>
      </c>
      <c r="D17" s="118" t="str">
        <f>IF($A17="","",'Situfin serie mensual'!JH14)</f>
        <v/>
      </c>
      <c r="E17" s="118" t="str">
        <f>IF($A17="","",'Situfin serie mensual'!JI14)</f>
        <v/>
      </c>
      <c r="F17" s="118" t="str">
        <f>IF($A17="","",'Situfin serie mensual'!JJ14)</f>
        <v/>
      </c>
      <c r="G17" s="118" t="str">
        <f>IF($A17="","",'Situfin serie mensual'!JK14)</f>
        <v/>
      </c>
      <c r="H17" s="118" t="str">
        <f>IF($A17="","",'Situfin serie mensual'!JL14)</f>
        <v/>
      </c>
      <c r="I17" s="118" t="str">
        <f>IF($A17="","",'Situfin serie mensual'!JM14)</f>
        <v/>
      </c>
      <c r="J17" s="118" t="str">
        <f>IF($A17="","",'Situfin serie mensual'!JN14)</f>
        <v/>
      </c>
      <c r="K17" s="118" t="str">
        <f>IF($A17="","",'Situfin serie mensual'!JO14)</f>
        <v/>
      </c>
      <c r="L17" s="118" t="str">
        <f>IF($A17="","",'Situfin serie mensual'!JP14)</f>
        <v/>
      </c>
      <c r="M17" s="118" t="str">
        <f>IF($A17="","",'Situfin serie mensual'!JQ14)</f>
        <v/>
      </c>
      <c r="N17" s="118"/>
      <c r="P17" s="10"/>
    </row>
    <row r="18" spans="1:16" s="16" customFormat="1" ht="12.75" outlineLevel="2" x14ac:dyDescent="0.2">
      <c r="A18" s="10" t="s">
        <v>11</v>
      </c>
      <c r="B18" s="116">
        <f>IF($A18="","",'Situfin serie mensual'!JF15)</f>
        <v>116.16520254999999</v>
      </c>
      <c r="C18" s="116">
        <f>IF($A18="","",'Situfin serie mensual'!JG15)</f>
        <v>133.63602569</v>
      </c>
      <c r="D18" s="116">
        <f>IF($A18="","",'Situfin serie mensual'!JH15)</f>
        <v>163.923467147</v>
      </c>
      <c r="E18" s="116">
        <f>IF($A18="","",'Situfin serie mensual'!JI15)</f>
        <v>106.009985837</v>
      </c>
      <c r="F18" s="116">
        <f>IF($A18="","",'Situfin serie mensual'!JJ15)</f>
        <v>0</v>
      </c>
      <c r="G18" s="116">
        <f>IF($A18="","",'Situfin serie mensual'!JK15)</f>
        <v>0</v>
      </c>
      <c r="H18" s="116">
        <f>IF($A18="","",'Situfin serie mensual'!JL15)</f>
        <v>0</v>
      </c>
      <c r="I18" s="116">
        <f>IF($A18="","",'Situfin serie mensual'!JM15)</f>
        <v>0</v>
      </c>
      <c r="J18" s="116">
        <f>IF($A18="","",'Situfin serie mensual'!JN15)</f>
        <v>0</v>
      </c>
      <c r="K18" s="116">
        <f>IF($A18="","",'Situfin serie mensual'!JO15)</f>
        <v>0</v>
      </c>
      <c r="L18" s="116">
        <f>IF($A18="","",'Situfin serie mensual'!JP15)</f>
        <v>0</v>
      </c>
      <c r="M18" s="116">
        <f>IF($A18="","",'Situfin serie mensual'!JQ15)</f>
        <v>0</v>
      </c>
      <c r="N18" s="116">
        <f t="shared" ref="N18:N35" si="0">+SUM(B18:M18)</f>
        <v>519.73468122400004</v>
      </c>
      <c r="P18" s="10"/>
    </row>
    <row r="19" spans="1:16" s="119" customFormat="1" ht="12.75" x14ac:dyDescent="0.2">
      <c r="A19" s="13" t="s">
        <v>150</v>
      </c>
      <c r="B19" s="118">
        <f>IF($A19="","",'Situfin serie mensual'!JF16)</f>
        <v>1.118168134</v>
      </c>
      <c r="C19" s="118">
        <f>IF($A19="","",'Situfin serie mensual'!JG16)</f>
        <v>0</v>
      </c>
      <c r="D19" s="118">
        <f>IF($A19="","",'Situfin serie mensual'!JH16)</f>
        <v>0</v>
      </c>
      <c r="E19" s="118">
        <f>IF($A19="","",'Situfin serie mensual'!JI16)</f>
        <v>0</v>
      </c>
      <c r="F19" s="118">
        <f>IF($A19="","",'Situfin serie mensual'!JJ16)</f>
        <v>0</v>
      </c>
      <c r="G19" s="118">
        <f>IF($A19="","",'Situfin serie mensual'!JK16)</f>
        <v>0</v>
      </c>
      <c r="H19" s="118">
        <f>IF($A19="","",'Situfin serie mensual'!JL16)</f>
        <v>0</v>
      </c>
      <c r="I19" s="118">
        <f>IF($A19="","",'Situfin serie mensual'!JM16)</f>
        <v>0</v>
      </c>
      <c r="J19" s="118">
        <f>IF($A19="","",'Situfin serie mensual'!JN16)</f>
        <v>0</v>
      </c>
      <c r="K19" s="118">
        <f>IF($A19="","",'Situfin serie mensual'!JO16)</f>
        <v>0</v>
      </c>
      <c r="L19" s="118">
        <f>IF($A19="","",'Situfin serie mensual'!JP16)</f>
        <v>0</v>
      </c>
      <c r="M19" s="118">
        <f>IF($A19="","",'Situfin serie mensual'!JQ16)</f>
        <v>0</v>
      </c>
      <c r="N19" s="118">
        <f t="shared" si="0"/>
        <v>1.118168134</v>
      </c>
      <c r="P19" s="10"/>
    </row>
    <row r="20" spans="1:16" s="119" customFormat="1" ht="12.75" x14ac:dyDescent="0.2">
      <c r="A20" s="171" t="s">
        <v>186</v>
      </c>
      <c r="B20" s="118">
        <f>IF($A20="","",'Situfin serie mensual'!JF17)</f>
        <v>0</v>
      </c>
      <c r="C20" s="118">
        <f>IF($A20="","",'Situfin serie mensual'!JG17)</f>
        <v>0</v>
      </c>
      <c r="D20" s="118">
        <f>IF($A20="","",'Situfin serie mensual'!JH17)</f>
        <v>0</v>
      </c>
      <c r="E20" s="118">
        <f>IF($A20="","",'Situfin serie mensual'!JI17)</f>
        <v>0</v>
      </c>
      <c r="F20" s="118">
        <f>IF($A20="","",'Situfin serie mensual'!JJ17)</f>
        <v>0</v>
      </c>
      <c r="G20" s="118">
        <f>IF($A20="","",'Situfin serie mensual'!JK17)</f>
        <v>0</v>
      </c>
      <c r="H20" s="118">
        <f>IF($A20="","",'Situfin serie mensual'!JL17)</f>
        <v>0</v>
      </c>
      <c r="I20" s="118">
        <f>IF($A20="","",'Situfin serie mensual'!JM17)</f>
        <v>0</v>
      </c>
      <c r="J20" s="118">
        <f>IF($A20="","",'Situfin serie mensual'!JN17)</f>
        <v>0</v>
      </c>
      <c r="K20" s="118">
        <f>IF($A20="","",'Situfin serie mensual'!JO17)</f>
        <v>0</v>
      </c>
      <c r="L20" s="118">
        <f>IF($A20="","",'Situfin serie mensual'!JP17)</f>
        <v>0</v>
      </c>
      <c r="M20" s="118">
        <f>IF($A20="","",'Situfin serie mensual'!JQ17)</f>
        <v>0</v>
      </c>
      <c r="N20" s="118">
        <f t="shared" si="0"/>
        <v>0</v>
      </c>
      <c r="P20" s="10"/>
    </row>
    <row r="21" spans="1:16" s="119" customFormat="1" ht="12.75" x14ac:dyDescent="0.2">
      <c r="A21" s="171" t="s">
        <v>187</v>
      </c>
      <c r="B21" s="118">
        <f>IF($A21="","",'Situfin serie mensual'!JF18)</f>
        <v>1.118168134</v>
      </c>
      <c r="C21" s="118">
        <f>IF($A21="","",'Situfin serie mensual'!JG18)</f>
        <v>0</v>
      </c>
      <c r="D21" s="118">
        <f>IF($A21="","",'Situfin serie mensual'!JH18)</f>
        <v>0</v>
      </c>
      <c r="E21" s="118">
        <f>IF($A21="","",'Situfin serie mensual'!JI18)</f>
        <v>0</v>
      </c>
      <c r="F21" s="118">
        <f>IF($A21="","",'Situfin serie mensual'!JJ18)</f>
        <v>0</v>
      </c>
      <c r="G21" s="118">
        <f>IF($A21="","",'Situfin serie mensual'!JK18)</f>
        <v>0</v>
      </c>
      <c r="H21" s="118">
        <f>IF($A21="","",'Situfin serie mensual'!JL18)</f>
        <v>0</v>
      </c>
      <c r="I21" s="118">
        <f>IF($A21="","",'Situfin serie mensual'!JM18)</f>
        <v>0</v>
      </c>
      <c r="J21" s="118">
        <f>IF($A21="","",'Situfin serie mensual'!JN18)</f>
        <v>0</v>
      </c>
      <c r="K21" s="118">
        <f>IF($A21="","",'Situfin serie mensual'!JO18)</f>
        <v>0</v>
      </c>
      <c r="L21" s="118">
        <f>IF($A21="","",'Situfin serie mensual'!JP18)</f>
        <v>0</v>
      </c>
      <c r="M21" s="118">
        <f>IF($A21="","",'Situfin serie mensual'!JQ18)</f>
        <v>0</v>
      </c>
      <c r="N21" s="118">
        <f t="shared" si="0"/>
        <v>1.118168134</v>
      </c>
      <c r="P21" s="10"/>
    </row>
    <row r="22" spans="1:16" s="119" customFormat="1" ht="12.75" x14ac:dyDescent="0.2">
      <c r="A22" s="13" t="s">
        <v>151</v>
      </c>
      <c r="B22" s="118">
        <f>IF($A22="","",'Situfin serie mensual'!JF19)</f>
        <v>0</v>
      </c>
      <c r="C22" s="118">
        <f>IF($A22="","",'Situfin serie mensual'!JG19)</f>
        <v>0</v>
      </c>
      <c r="D22" s="118">
        <f>IF($A22="","",'Situfin serie mensual'!JH19)</f>
        <v>0</v>
      </c>
      <c r="E22" s="118">
        <f>IF($A22="","",'Situfin serie mensual'!JI19)</f>
        <v>0</v>
      </c>
      <c r="F22" s="118">
        <f>IF($A22="","",'Situfin serie mensual'!JJ19)</f>
        <v>0</v>
      </c>
      <c r="G22" s="118">
        <f>IF($A22="","",'Situfin serie mensual'!JK19)</f>
        <v>0</v>
      </c>
      <c r="H22" s="118">
        <f>IF($A22="","",'Situfin serie mensual'!JL19)</f>
        <v>0</v>
      </c>
      <c r="I22" s="118">
        <f>IF($A22="","",'Situfin serie mensual'!JM19)</f>
        <v>0</v>
      </c>
      <c r="J22" s="118">
        <f>IF($A22="","",'Situfin serie mensual'!JN19)</f>
        <v>0</v>
      </c>
      <c r="K22" s="118">
        <f>IF($A22="","",'Situfin serie mensual'!JO19)</f>
        <v>0</v>
      </c>
      <c r="L22" s="118">
        <f>IF($A22="","",'Situfin serie mensual'!JP19)</f>
        <v>0</v>
      </c>
      <c r="M22" s="118">
        <f>IF($A22="","",'Situfin serie mensual'!JQ19)</f>
        <v>0</v>
      </c>
      <c r="N22" s="118">
        <f t="shared" si="0"/>
        <v>0</v>
      </c>
      <c r="P22" s="10"/>
    </row>
    <row r="23" spans="1:16" s="119" customFormat="1" ht="12.75" x14ac:dyDescent="0.2">
      <c r="A23" s="171" t="s">
        <v>186</v>
      </c>
      <c r="B23" s="118">
        <f>IF($A23="","",'Situfin serie mensual'!JF20)</f>
        <v>0</v>
      </c>
      <c r="C23" s="118">
        <f>IF($A23="","",'Situfin serie mensual'!JG20)</f>
        <v>0</v>
      </c>
      <c r="D23" s="118">
        <f>IF($A23="","",'Situfin serie mensual'!JH20)</f>
        <v>0</v>
      </c>
      <c r="E23" s="118">
        <f>IF($A23="","",'Situfin serie mensual'!JI20)</f>
        <v>0</v>
      </c>
      <c r="F23" s="118">
        <f>IF($A23="","",'Situfin serie mensual'!JJ20)</f>
        <v>0</v>
      </c>
      <c r="G23" s="118">
        <f>IF($A23="","",'Situfin serie mensual'!JK20)</f>
        <v>0</v>
      </c>
      <c r="H23" s="118">
        <f>IF($A23="","",'Situfin serie mensual'!JL20)</f>
        <v>0</v>
      </c>
      <c r="I23" s="118">
        <f>IF($A23="","",'Situfin serie mensual'!JM20)</f>
        <v>0</v>
      </c>
      <c r="J23" s="118">
        <f>IF($A23="","",'Situfin serie mensual'!JN20)</f>
        <v>0</v>
      </c>
      <c r="K23" s="118">
        <f>IF($A23="","",'Situfin serie mensual'!JO20)</f>
        <v>0</v>
      </c>
      <c r="L23" s="118">
        <f>IF($A23="","",'Situfin serie mensual'!JP20)</f>
        <v>0</v>
      </c>
      <c r="M23" s="118">
        <f>IF($A23="","",'Situfin serie mensual'!JQ20)</f>
        <v>0</v>
      </c>
      <c r="N23" s="118">
        <f t="shared" si="0"/>
        <v>0</v>
      </c>
      <c r="P23" s="10"/>
    </row>
    <row r="24" spans="1:16" s="119" customFormat="1" ht="12.75" x14ac:dyDescent="0.2">
      <c r="A24" s="171" t="s">
        <v>187</v>
      </c>
      <c r="B24" s="118">
        <f>IF($A24="","",'Situfin serie mensual'!JF21)</f>
        <v>0</v>
      </c>
      <c r="C24" s="118">
        <f>IF($A24="","",'Situfin serie mensual'!JG21)</f>
        <v>0</v>
      </c>
      <c r="D24" s="118">
        <f>IF($A24="","",'Situfin serie mensual'!JH21)</f>
        <v>0</v>
      </c>
      <c r="E24" s="118">
        <f>IF($A24="","",'Situfin serie mensual'!JI21)</f>
        <v>0</v>
      </c>
      <c r="F24" s="118">
        <f>IF($A24="","",'Situfin serie mensual'!JJ21)</f>
        <v>0</v>
      </c>
      <c r="G24" s="118">
        <f>IF($A24="","",'Situfin serie mensual'!JK21)</f>
        <v>0</v>
      </c>
      <c r="H24" s="118">
        <f>IF($A24="","",'Situfin serie mensual'!JL21)</f>
        <v>0</v>
      </c>
      <c r="I24" s="118">
        <f>IF($A24="","",'Situfin serie mensual'!JM21)</f>
        <v>0</v>
      </c>
      <c r="J24" s="118">
        <f>IF($A24="","",'Situfin serie mensual'!JN21)</f>
        <v>0</v>
      </c>
      <c r="K24" s="118">
        <f>IF($A24="","",'Situfin serie mensual'!JO21)</f>
        <v>0</v>
      </c>
      <c r="L24" s="118">
        <f>IF($A24="","",'Situfin serie mensual'!JP21)</f>
        <v>0</v>
      </c>
      <c r="M24" s="118">
        <f>IF($A24="","",'Situfin serie mensual'!JQ21)</f>
        <v>0</v>
      </c>
      <c r="N24" s="118">
        <f t="shared" si="0"/>
        <v>0</v>
      </c>
      <c r="P24" s="10"/>
    </row>
    <row r="25" spans="1:16" s="119" customFormat="1" ht="12.75" x14ac:dyDescent="0.2">
      <c r="A25" s="13" t="s">
        <v>152</v>
      </c>
      <c r="B25" s="118">
        <f>IF($A25="","",'Situfin serie mensual'!JF22)</f>
        <v>115.04703441599999</v>
      </c>
      <c r="C25" s="118">
        <f>IF($A25="","",'Situfin serie mensual'!JG22)</f>
        <v>133.63602569</v>
      </c>
      <c r="D25" s="118">
        <f>IF($A25="","",'Situfin serie mensual'!JH22)</f>
        <v>163.923467147</v>
      </c>
      <c r="E25" s="118">
        <f>IF($A25="","",'Situfin serie mensual'!JI22)</f>
        <v>106.009985837</v>
      </c>
      <c r="F25" s="118">
        <f>IF($A25="","",'Situfin serie mensual'!JJ22)</f>
        <v>0</v>
      </c>
      <c r="G25" s="118">
        <f>IF($A25="","",'Situfin serie mensual'!JK22)</f>
        <v>0</v>
      </c>
      <c r="H25" s="118">
        <f>IF($A25="","",'Situfin serie mensual'!JL22)</f>
        <v>0</v>
      </c>
      <c r="I25" s="118">
        <f>IF($A25="","",'Situfin serie mensual'!JM22)</f>
        <v>0</v>
      </c>
      <c r="J25" s="118">
        <f>IF($A25="","",'Situfin serie mensual'!JN22)</f>
        <v>0</v>
      </c>
      <c r="K25" s="118">
        <f>IF($A25="","",'Situfin serie mensual'!JO22)</f>
        <v>0</v>
      </c>
      <c r="L25" s="118">
        <f>IF($A25="","",'Situfin serie mensual'!JP22)</f>
        <v>0</v>
      </c>
      <c r="M25" s="118">
        <f>IF($A25="","",'Situfin serie mensual'!JQ22)</f>
        <v>0</v>
      </c>
      <c r="N25" s="118">
        <f t="shared" si="0"/>
        <v>518.61651309000001</v>
      </c>
      <c r="P25" s="10"/>
    </row>
    <row r="26" spans="1:16" s="119" customFormat="1" ht="12.75" x14ac:dyDescent="0.2">
      <c r="A26" s="171" t="s">
        <v>186</v>
      </c>
      <c r="B26" s="118">
        <f>IF($A26="","",'Situfin serie mensual'!JF23)</f>
        <v>115.04703441599999</v>
      </c>
      <c r="C26" s="118">
        <f>IF($A26="","",'Situfin serie mensual'!JG23)</f>
        <v>133.63602569</v>
      </c>
      <c r="D26" s="118">
        <f>IF($A26="","",'Situfin serie mensual'!JH23)</f>
        <v>163.923467147</v>
      </c>
      <c r="E26" s="118">
        <f>IF($A26="","",'Situfin serie mensual'!JI23)</f>
        <v>106.009985837</v>
      </c>
      <c r="F26" s="118">
        <f>IF($A26="","",'Situfin serie mensual'!JJ23)</f>
        <v>0</v>
      </c>
      <c r="G26" s="118">
        <f>IF($A26="","",'Situfin serie mensual'!JK23)</f>
        <v>0</v>
      </c>
      <c r="H26" s="118">
        <f>IF($A26="","",'Situfin serie mensual'!JL23)</f>
        <v>0</v>
      </c>
      <c r="I26" s="118">
        <f>IF($A26="","",'Situfin serie mensual'!JM23)</f>
        <v>0</v>
      </c>
      <c r="J26" s="118">
        <f>IF($A26="","",'Situfin serie mensual'!JN23)</f>
        <v>0</v>
      </c>
      <c r="K26" s="118">
        <f>IF($A26="","",'Situfin serie mensual'!JO23)</f>
        <v>0</v>
      </c>
      <c r="L26" s="118">
        <f>IF($A26="","",'Situfin serie mensual'!JP23)</f>
        <v>0</v>
      </c>
      <c r="M26" s="118">
        <f>IF($A26="","",'Situfin serie mensual'!JQ23)</f>
        <v>0</v>
      </c>
      <c r="N26" s="118">
        <f t="shared" si="0"/>
        <v>518.61651309000001</v>
      </c>
      <c r="P26" s="10"/>
    </row>
    <row r="27" spans="1:16" s="119" customFormat="1" ht="12.75" x14ac:dyDescent="0.2">
      <c r="A27" s="171" t="s">
        <v>187</v>
      </c>
      <c r="B27" s="118">
        <f>IF($A27="","",'Situfin serie mensual'!JF24)</f>
        <v>0</v>
      </c>
      <c r="C27" s="118">
        <f>IF($A27="","",'Situfin serie mensual'!JG24)</f>
        <v>0</v>
      </c>
      <c r="D27" s="118">
        <f>IF($A27="","",'Situfin serie mensual'!JH24)</f>
        <v>0</v>
      </c>
      <c r="E27" s="118">
        <f>IF($A27="","",'Situfin serie mensual'!JI24)</f>
        <v>0</v>
      </c>
      <c r="F27" s="118">
        <f>IF($A27="","",'Situfin serie mensual'!JJ24)</f>
        <v>0</v>
      </c>
      <c r="G27" s="118">
        <f>IF($A27="","",'Situfin serie mensual'!JK24)</f>
        <v>0</v>
      </c>
      <c r="H27" s="118">
        <f>IF($A27="","",'Situfin serie mensual'!JL24)</f>
        <v>0</v>
      </c>
      <c r="I27" s="118">
        <f>IF($A27="","",'Situfin serie mensual'!JM24)</f>
        <v>0</v>
      </c>
      <c r="J27" s="118">
        <f>IF($A27="","",'Situfin serie mensual'!JN24)</f>
        <v>0</v>
      </c>
      <c r="K27" s="118">
        <f>IF($A27="","",'Situfin serie mensual'!JO24)</f>
        <v>0</v>
      </c>
      <c r="L27" s="118">
        <f>IF($A27="","",'Situfin serie mensual'!JP24)</f>
        <v>0</v>
      </c>
      <c r="M27" s="118">
        <f>IF($A27="","",'Situfin serie mensual'!JQ24)</f>
        <v>0</v>
      </c>
      <c r="N27" s="118">
        <f t="shared" si="0"/>
        <v>0</v>
      </c>
      <c r="P27" s="10"/>
    </row>
    <row r="28" spans="1:16" s="16" customFormat="1" ht="12.75" outlineLevel="2" x14ac:dyDescent="0.2">
      <c r="A28" s="10" t="s">
        <v>17</v>
      </c>
      <c r="B28" s="116">
        <f>IF($A28="","",'Situfin serie mensual'!JF25)</f>
        <v>564.83216431899996</v>
      </c>
      <c r="C28" s="116">
        <f>IF($A28="","",'Situfin serie mensual'!JG25)</f>
        <v>727.74188087499988</v>
      </c>
      <c r="D28" s="116">
        <f>IF($A28="","",'Situfin serie mensual'!JH25)</f>
        <v>531.08330049000006</v>
      </c>
      <c r="E28" s="116">
        <f>IF($A28="","",'Situfin serie mensual'!JI25)</f>
        <v>462.79931831700003</v>
      </c>
      <c r="F28" s="116">
        <f>IF($A28="","",'Situfin serie mensual'!JJ25)</f>
        <v>0</v>
      </c>
      <c r="G28" s="116">
        <f>IF($A28="","",'Situfin serie mensual'!JK25)</f>
        <v>0</v>
      </c>
      <c r="H28" s="116">
        <f>IF($A28="","",'Situfin serie mensual'!JL25)</f>
        <v>0</v>
      </c>
      <c r="I28" s="116">
        <f>IF($A28="","",'Situfin serie mensual'!JM25)</f>
        <v>0</v>
      </c>
      <c r="J28" s="116">
        <f>IF($A28="","",'Situfin serie mensual'!JN25)</f>
        <v>0</v>
      </c>
      <c r="K28" s="116">
        <f>IF($A28="","",'Situfin serie mensual'!JO25)</f>
        <v>0</v>
      </c>
      <c r="L28" s="116">
        <f>IF($A28="","",'Situfin serie mensual'!JP25)</f>
        <v>0</v>
      </c>
      <c r="M28" s="116">
        <f>IF($A28="","",'Situfin serie mensual'!JQ25)</f>
        <v>0</v>
      </c>
      <c r="N28" s="116">
        <f t="shared" si="0"/>
        <v>2286.4566640009998</v>
      </c>
      <c r="O28" s="10"/>
      <c r="P28" s="10"/>
    </row>
    <row r="29" spans="1:16" s="119" customFormat="1" ht="12.75" x14ac:dyDescent="0.2">
      <c r="A29" s="13" t="s">
        <v>18</v>
      </c>
      <c r="B29" s="118">
        <f>IF($A29="","",'Situfin serie mensual'!JF26)</f>
        <v>412.04930942799996</v>
      </c>
      <c r="C29" s="118">
        <f>IF($A29="","",'Situfin serie mensual'!JG26)</f>
        <v>476.34214857599994</v>
      </c>
      <c r="D29" s="118">
        <f>IF($A29="","",'Situfin serie mensual'!JH26)</f>
        <v>310.97754776900001</v>
      </c>
      <c r="E29" s="118">
        <f>IF($A29="","",'Situfin serie mensual'!JI26)</f>
        <v>281.813554318</v>
      </c>
      <c r="F29" s="118">
        <f>IF($A29="","",'Situfin serie mensual'!JJ26)</f>
        <v>0</v>
      </c>
      <c r="G29" s="118">
        <f>IF($A29="","",'Situfin serie mensual'!JK26)</f>
        <v>0</v>
      </c>
      <c r="H29" s="118">
        <f>IF($A29="","",'Situfin serie mensual'!JL26)</f>
        <v>0</v>
      </c>
      <c r="I29" s="118">
        <f>IF($A29="","",'Situfin serie mensual'!JM26)</f>
        <v>0</v>
      </c>
      <c r="J29" s="118">
        <f>IF($A29="","",'Situfin serie mensual'!JN26)</f>
        <v>0</v>
      </c>
      <c r="K29" s="118">
        <f>IF($A29="","",'Situfin serie mensual'!JO26)</f>
        <v>0</v>
      </c>
      <c r="L29" s="118">
        <f>IF($A29="","",'Situfin serie mensual'!JP26)</f>
        <v>0</v>
      </c>
      <c r="M29" s="118">
        <f>IF($A29="","",'Situfin serie mensual'!JQ26)</f>
        <v>0</v>
      </c>
      <c r="N29" s="118">
        <f t="shared" si="0"/>
        <v>1481.1825600910001</v>
      </c>
      <c r="O29" s="10"/>
      <c r="P29" s="10"/>
    </row>
    <row r="30" spans="1:16" s="119" customFormat="1" ht="12.75" x14ac:dyDescent="0.2">
      <c r="A30" s="171" t="s">
        <v>183</v>
      </c>
      <c r="B30" s="118">
        <f>IF($A30="","",'Situfin serie mensual'!JF27)</f>
        <v>333.22392115199995</v>
      </c>
      <c r="C30" s="118">
        <f>IF($A30="","",'Situfin serie mensual'!JG27)</f>
        <v>470.96047819999995</v>
      </c>
      <c r="D30" s="118">
        <f>IF($A30="","",'Situfin serie mensual'!JH27)</f>
        <v>300.69267315500002</v>
      </c>
      <c r="E30" s="118">
        <f>IF($A30="","",'Situfin serie mensual'!JI27)</f>
        <v>276.34434612900003</v>
      </c>
      <c r="F30" s="118">
        <f>IF($A30="","",'Situfin serie mensual'!JJ27)</f>
        <v>0</v>
      </c>
      <c r="G30" s="118">
        <f>IF($A30="","",'Situfin serie mensual'!JK27)</f>
        <v>0</v>
      </c>
      <c r="H30" s="118">
        <f>IF($A30="","",'Situfin serie mensual'!JL27)</f>
        <v>0</v>
      </c>
      <c r="I30" s="118">
        <f>IF($A30="","",'Situfin serie mensual'!JM27)</f>
        <v>0</v>
      </c>
      <c r="J30" s="118">
        <f>IF($A30="","",'Situfin serie mensual'!JN27)</f>
        <v>0</v>
      </c>
      <c r="K30" s="118">
        <f>IF($A30="","",'Situfin serie mensual'!JO27)</f>
        <v>0</v>
      </c>
      <c r="L30" s="118">
        <f>IF($A30="","",'Situfin serie mensual'!JP27)</f>
        <v>0</v>
      </c>
      <c r="M30" s="118">
        <f>IF($A30="","",'Situfin serie mensual'!JQ27)</f>
        <v>0</v>
      </c>
      <c r="N30" s="118">
        <f t="shared" si="0"/>
        <v>1381.221418636</v>
      </c>
      <c r="O30" s="10"/>
      <c r="P30" s="10"/>
    </row>
    <row r="31" spans="1:16" s="119" customFormat="1" ht="12.75" x14ac:dyDescent="0.2">
      <c r="A31" s="171" t="s">
        <v>184</v>
      </c>
      <c r="B31" s="118">
        <f>IF($A31="","",'Situfin serie mensual'!JF28)</f>
        <v>78.825388275999984</v>
      </c>
      <c r="C31" s="118">
        <f>IF($A31="","",'Situfin serie mensual'!JG28)</f>
        <v>5.3816703759999944</v>
      </c>
      <c r="D31" s="118">
        <f>IF($A31="","",'Situfin serie mensual'!JH28)</f>
        <v>10.28487461400003</v>
      </c>
      <c r="E31" s="118">
        <f>IF($A31="","",'Situfin serie mensual'!JI28)</f>
        <v>5.4692081889999677</v>
      </c>
      <c r="F31" s="118">
        <f>IF($A31="","",'Situfin serie mensual'!JJ28)</f>
        <v>0</v>
      </c>
      <c r="G31" s="118">
        <f>IF($A31="","",'Situfin serie mensual'!JK28)</f>
        <v>0</v>
      </c>
      <c r="H31" s="118">
        <f>IF($A31="","",'Situfin serie mensual'!JL28)</f>
        <v>0</v>
      </c>
      <c r="I31" s="118">
        <f>IF($A31="","",'Situfin serie mensual'!JM28)</f>
        <v>0</v>
      </c>
      <c r="J31" s="118">
        <f>IF($A31="","",'Situfin serie mensual'!JN28)</f>
        <v>0</v>
      </c>
      <c r="K31" s="118">
        <f>IF($A31="","",'Situfin serie mensual'!JO28)</f>
        <v>0</v>
      </c>
      <c r="L31" s="118">
        <f>IF($A31="","",'Situfin serie mensual'!JP28)</f>
        <v>0</v>
      </c>
      <c r="M31" s="118">
        <f>IF($A31="","",'Situfin serie mensual'!JQ28)</f>
        <v>0</v>
      </c>
      <c r="N31" s="118">
        <f t="shared" si="0"/>
        <v>99.961141454999975</v>
      </c>
      <c r="O31" s="10"/>
      <c r="P31" s="10"/>
    </row>
    <row r="32" spans="1:16" s="119" customFormat="1" ht="12.75" x14ac:dyDescent="0.2">
      <c r="A32" s="13" t="s">
        <v>21</v>
      </c>
      <c r="B32" s="118">
        <f>IF($A32="","",'Situfin serie mensual'!JF29)</f>
        <v>137.760662997</v>
      </c>
      <c r="C32" s="118">
        <f>IF($A32="","",'Situfin serie mensual'!JG29)</f>
        <v>224.24815347000001</v>
      </c>
      <c r="D32" s="118">
        <f>IF($A32="","",'Situfin serie mensual'!JH29)</f>
        <v>163.29821224599999</v>
      </c>
      <c r="E32" s="118">
        <f>IF($A32="","",'Situfin serie mensual'!JI29)</f>
        <v>147.53938821300002</v>
      </c>
      <c r="F32" s="118">
        <f>IF($A32="","",'Situfin serie mensual'!JJ29)</f>
        <v>0</v>
      </c>
      <c r="G32" s="118">
        <f>IF($A32="","",'Situfin serie mensual'!JK29)</f>
        <v>0</v>
      </c>
      <c r="H32" s="118">
        <f>IF($A32="","",'Situfin serie mensual'!JL29)</f>
        <v>0</v>
      </c>
      <c r="I32" s="118">
        <f>IF($A32="","",'Situfin serie mensual'!JM29)</f>
        <v>0</v>
      </c>
      <c r="J32" s="118">
        <f>IF($A32="","",'Situfin serie mensual'!JN29)</f>
        <v>0</v>
      </c>
      <c r="K32" s="118">
        <f>IF($A32="","",'Situfin serie mensual'!JO29)</f>
        <v>0</v>
      </c>
      <c r="L32" s="118">
        <f>IF($A32="","",'Situfin serie mensual'!JP29)</f>
        <v>0</v>
      </c>
      <c r="M32" s="118">
        <f>IF($A32="","",'Situfin serie mensual'!JQ29)</f>
        <v>0</v>
      </c>
      <c r="N32" s="118">
        <f t="shared" si="0"/>
        <v>672.84641692599996</v>
      </c>
      <c r="O32" s="10"/>
      <c r="P32" s="10"/>
    </row>
    <row r="33" spans="1:18" s="119" customFormat="1" ht="12.75" x14ac:dyDescent="0.2">
      <c r="A33" s="171" t="s">
        <v>185</v>
      </c>
      <c r="B33" s="118">
        <f>IF($A33="","",'Situfin serie mensual'!JF30)</f>
        <v>0</v>
      </c>
      <c r="C33" s="118">
        <f>IF($A33="","",'Situfin serie mensual'!JG30)</f>
        <v>93.609066200000001</v>
      </c>
      <c r="D33" s="118">
        <f>IF($A33="","",'Situfin serie mensual'!JH30)</f>
        <v>6.4608088109999997</v>
      </c>
      <c r="E33" s="118">
        <f>IF($A33="","",'Situfin serie mensual'!JI30)</f>
        <v>7.0210299000000003</v>
      </c>
      <c r="F33" s="118">
        <f>IF($A33="","",'Situfin serie mensual'!JJ30)</f>
        <v>0</v>
      </c>
      <c r="G33" s="118">
        <f>IF($A33="","",'Situfin serie mensual'!JK30)</f>
        <v>0</v>
      </c>
      <c r="H33" s="118">
        <f>IF($A33="","",'Situfin serie mensual'!JL30)</f>
        <v>0</v>
      </c>
      <c r="I33" s="118">
        <f>IF($A33="","",'Situfin serie mensual'!JM30)</f>
        <v>0</v>
      </c>
      <c r="J33" s="118">
        <f>IF($A33="","",'Situfin serie mensual'!JN30)</f>
        <v>0</v>
      </c>
      <c r="K33" s="118">
        <f>IF($A33="","",'Situfin serie mensual'!JO30)</f>
        <v>0</v>
      </c>
      <c r="L33" s="118">
        <f>IF($A33="","",'Situfin serie mensual'!JP30)</f>
        <v>0</v>
      </c>
      <c r="M33" s="118">
        <f>IF($A33="","",'Situfin serie mensual'!JQ30)</f>
        <v>0</v>
      </c>
      <c r="N33" s="118">
        <f t="shared" si="0"/>
        <v>107.090904911</v>
      </c>
      <c r="O33" s="10"/>
      <c r="P33" s="10"/>
    </row>
    <row r="34" spans="1:18" s="119" customFormat="1" ht="12.75" x14ac:dyDescent="0.2">
      <c r="A34" s="171" t="s">
        <v>23</v>
      </c>
      <c r="B34" s="118">
        <f>IF($A34="","",'Situfin serie mensual'!JF31)</f>
        <v>137.760662997</v>
      </c>
      <c r="C34" s="118">
        <f>IF($A34="","",'Situfin serie mensual'!JG31)</f>
        <v>130.63908726999998</v>
      </c>
      <c r="D34" s="118">
        <f>IF($A34="","",'Situfin serie mensual'!JH31)</f>
        <v>156.837403435</v>
      </c>
      <c r="E34" s="118">
        <f>IF($A34="","",'Situfin serie mensual'!JI31)</f>
        <v>140.51835831300002</v>
      </c>
      <c r="F34" s="118">
        <f>IF($A34="","",'Situfin serie mensual'!JJ31)</f>
        <v>0</v>
      </c>
      <c r="G34" s="118">
        <f>IF($A34="","",'Situfin serie mensual'!JK31)</f>
        <v>0</v>
      </c>
      <c r="H34" s="118">
        <f>IF($A34="","",'Situfin serie mensual'!JL31)</f>
        <v>0</v>
      </c>
      <c r="I34" s="118">
        <f>IF($A34="","",'Situfin serie mensual'!JM31)</f>
        <v>0</v>
      </c>
      <c r="J34" s="118">
        <f>IF($A34="","",'Situfin serie mensual'!JN31)</f>
        <v>0</v>
      </c>
      <c r="K34" s="118">
        <f>IF($A34="","",'Situfin serie mensual'!JO31)</f>
        <v>0</v>
      </c>
      <c r="L34" s="118">
        <f>IF($A34="","",'Situfin serie mensual'!JP31)</f>
        <v>0</v>
      </c>
      <c r="M34" s="118">
        <f>IF($A34="","",'Situfin serie mensual'!JQ31)</f>
        <v>0</v>
      </c>
      <c r="N34" s="118">
        <f t="shared" si="0"/>
        <v>565.75551201500002</v>
      </c>
      <c r="O34" s="10"/>
      <c r="P34" s="10"/>
    </row>
    <row r="35" spans="1:18" s="119" customFormat="1" ht="12.75" x14ac:dyDescent="0.2">
      <c r="A35" s="172" t="s">
        <v>17</v>
      </c>
      <c r="B35" s="118">
        <f>IF($A35="","",'Situfin serie mensual'!JF32)</f>
        <v>15.022191894000001</v>
      </c>
      <c r="C35" s="118">
        <f>IF($A35="","",'Situfin serie mensual'!JG32)</f>
        <v>27.151578829000002</v>
      </c>
      <c r="D35" s="118">
        <f>IF($A35="","",'Situfin serie mensual'!JH32)</f>
        <v>56.807540474999996</v>
      </c>
      <c r="E35" s="118">
        <f>IF($A35="","",'Situfin serie mensual'!JI32)</f>
        <v>33.446375786000004</v>
      </c>
      <c r="F35" s="118">
        <f>IF($A35="","",'Situfin serie mensual'!JJ32)</f>
        <v>0</v>
      </c>
      <c r="G35" s="118">
        <f>IF($A35="","",'Situfin serie mensual'!JK32)</f>
        <v>0</v>
      </c>
      <c r="H35" s="118">
        <f>IF($A35="","",'Situfin serie mensual'!JL32)</f>
        <v>0</v>
      </c>
      <c r="I35" s="118">
        <f>IF($A35="","",'Situfin serie mensual'!JM32)</f>
        <v>0</v>
      </c>
      <c r="J35" s="118">
        <f>IF($A35="","",'Situfin serie mensual'!JN32)</f>
        <v>0</v>
      </c>
      <c r="K35" s="118">
        <f>IF($A35="","",'Situfin serie mensual'!JO32)</f>
        <v>0</v>
      </c>
      <c r="L35" s="118">
        <f>IF($A35="","",'Situfin serie mensual'!JP32)</f>
        <v>0</v>
      </c>
      <c r="M35" s="118">
        <f>IF($A35="","",'Situfin serie mensual'!JQ32)</f>
        <v>0</v>
      </c>
      <c r="N35" s="118">
        <f t="shared" si="0"/>
        <v>132.42768698399999</v>
      </c>
      <c r="O35" s="10"/>
      <c r="P35" s="10"/>
    </row>
    <row r="36" spans="1:18" s="119" customFormat="1" ht="12.75" x14ac:dyDescent="0.2">
      <c r="A36" s="13"/>
      <c r="B36" s="118" t="str">
        <f>IF($A36="","",'Situfin serie mensual'!JF33)</f>
        <v/>
      </c>
      <c r="C36" s="118" t="str">
        <f>IF($A36="","",'Situfin serie mensual'!JG33)</f>
        <v/>
      </c>
      <c r="D36" s="118" t="str">
        <f>IF($A36="","",'Situfin serie mensual'!JH33)</f>
        <v/>
      </c>
      <c r="E36" s="118" t="str">
        <f>IF($A36="","",'Situfin serie mensual'!JI33)</f>
        <v/>
      </c>
      <c r="F36" s="118" t="str">
        <f>IF($A36="","",'Situfin serie mensual'!JJ33)</f>
        <v/>
      </c>
      <c r="G36" s="118" t="str">
        <f>IF($A36="","",'Situfin serie mensual'!JK33)</f>
        <v/>
      </c>
      <c r="H36" s="118" t="str">
        <f>IF($A36="","",'Situfin serie mensual'!JL33)</f>
        <v/>
      </c>
      <c r="I36" s="118" t="str">
        <f>IF($A36="","",'Situfin serie mensual'!JM33)</f>
        <v/>
      </c>
      <c r="J36" s="118" t="str">
        <f>IF($A36="","",'Situfin serie mensual'!JN33)</f>
        <v/>
      </c>
      <c r="K36" s="118" t="str">
        <f>IF($A36="","",'Situfin serie mensual'!JO33)</f>
        <v/>
      </c>
      <c r="L36" s="118" t="str">
        <f>IF($A36="","",'Situfin serie mensual'!JP33)</f>
        <v/>
      </c>
      <c r="M36" s="118" t="str">
        <f>IF($A36="","",'Situfin serie mensual'!JQ33)</f>
        <v/>
      </c>
      <c r="N36" s="118"/>
      <c r="O36" s="10"/>
      <c r="P36" s="10"/>
    </row>
    <row r="37" spans="1:18" s="10" customFormat="1" ht="12.75" x14ac:dyDescent="0.2">
      <c r="A37" s="113" t="s">
        <v>24</v>
      </c>
      <c r="B37" s="122">
        <f>IF($A37="","",'Situfin serie mensual'!JF34)</f>
        <v>3974.1754129680007</v>
      </c>
      <c r="C37" s="122">
        <f>IF($A37="","",'Situfin serie mensual'!JG34)</f>
        <v>4084.5110122229999</v>
      </c>
      <c r="D37" s="122">
        <f>IF($A37="","",'Situfin serie mensual'!JH34)</f>
        <v>5019.9217820459999</v>
      </c>
      <c r="E37" s="122">
        <f>IF($A37="","",'Situfin serie mensual'!JI34)</f>
        <v>4018.5587189970006</v>
      </c>
      <c r="F37" s="122">
        <f>IF($A37="","",'Situfin serie mensual'!JJ34)</f>
        <v>0</v>
      </c>
      <c r="G37" s="122">
        <f>IF($A37="","",'Situfin serie mensual'!JK34)</f>
        <v>0</v>
      </c>
      <c r="H37" s="122">
        <f>IF($A37="","",'Situfin serie mensual'!JL34)</f>
        <v>0</v>
      </c>
      <c r="I37" s="122">
        <f>IF($A37="","",'Situfin serie mensual'!JM34)</f>
        <v>0</v>
      </c>
      <c r="J37" s="122">
        <f>IF($A37="","",'Situfin serie mensual'!JN34)</f>
        <v>0</v>
      </c>
      <c r="K37" s="122">
        <f>IF($A37="","",'Situfin serie mensual'!JO34)</f>
        <v>0</v>
      </c>
      <c r="L37" s="122">
        <f>IF($A37="","",'Situfin serie mensual'!JP34)</f>
        <v>0</v>
      </c>
      <c r="M37" s="122">
        <f>IF($A37="","",'Situfin serie mensual'!JQ34)</f>
        <v>0</v>
      </c>
      <c r="N37" s="122">
        <f t="shared" ref="N37:N72" si="1">+SUM(B37:M37)</f>
        <v>17097.166926234</v>
      </c>
    </row>
    <row r="38" spans="1:18" s="119" customFormat="1" ht="12.75" x14ac:dyDescent="0.2">
      <c r="A38" s="123" t="s">
        <v>25</v>
      </c>
      <c r="B38" s="116">
        <f>IF($A38="","",'Situfin serie mensual'!JF35)</f>
        <v>1720.3071413900002</v>
      </c>
      <c r="C38" s="116">
        <f>IF($A38="","",'Situfin serie mensual'!JG35)</f>
        <v>1782.4101520639999</v>
      </c>
      <c r="D38" s="116">
        <f>IF($A38="","",'Situfin serie mensual'!JH35)</f>
        <v>1791.824895173</v>
      </c>
      <c r="E38" s="116">
        <f>IF($A38="","",'Situfin serie mensual'!JI35)</f>
        <v>1833.301013004</v>
      </c>
      <c r="F38" s="116">
        <f>IF($A38="","",'Situfin serie mensual'!JJ35)</f>
        <v>0</v>
      </c>
      <c r="G38" s="116">
        <f>IF($A38="","",'Situfin serie mensual'!JK35)</f>
        <v>0</v>
      </c>
      <c r="H38" s="116">
        <f>IF($A38="","",'Situfin serie mensual'!JL35)</f>
        <v>0</v>
      </c>
      <c r="I38" s="116">
        <f>IF($A38="","",'Situfin serie mensual'!JM35)</f>
        <v>0</v>
      </c>
      <c r="J38" s="116">
        <f>IF($A38="","",'Situfin serie mensual'!JN35)</f>
        <v>0</v>
      </c>
      <c r="K38" s="116">
        <f>IF($A38="","",'Situfin serie mensual'!JO35)</f>
        <v>0</v>
      </c>
      <c r="L38" s="116">
        <f>IF($A38="","",'Situfin serie mensual'!JP35)</f>
        <v>0</v>
      </c>
      <c r="M38" s="116">
        <f>IF($A38="","",'Situfin serie mensual'!JQ35)</f>
        <v>0</v>
      </c>
      <c r="N38" s="124">
        <f t="shared" si="1"/>
        <v>7127.8432016310007</v>
      </c>
      <c r="O38" s="10"/>
      <c r="P38" s="10"/>
    </row>
    <row r="39" spans="1:18" s="119" customFormat="1" ht="12.75" x14ac:dyDescent="0.2">
      <c r="A39" s="155" t="s">
        <v>26</v>
      </c>
      <c r="B39" s="116">
        <f>IF($A39="","",'Situfin serie mensual'!JF36)</f>
        <v>461.12687287</v>
      </c>
      <c r="C39" s="116">
        <f>IF($A39="","",'Situfin serie mensual'!JG36)</f>
        <v>554.05268784199995</v>
      </c>
      <c r="D39" s="116">
        <f>IF($A39="","",'Situfin serie mensual'!JH36)</f>
        <v>615.32033838100006</v>
      </c>
      <c r="E39" s="116">
        <f>IF($A39="","",'Situfin serie mensual'!JI36)</f>
        <v>367.81942645600003</v>
      </c>
      <c r="F39" s="116">
        <f>IF($A39="","",'Situfin serie mensual'!JJ36)</f>
        <v>0</v>
      </c>
      <c r="G39" s="116">
        <f>IF($A39="","",'Situfin serie mensual'!JK36)</f>
        <v>0</v>
      </c>
      <c r="H39" s="116">
        <f>IF($A39="","",'Situfin serie mensual'!JL36)</f>
        <v>0</v>
      </c>
      <c r="I39" s="116">
        <f>IF($A39="","",'Situfin serie mensual'!JM36)</f>
        <v>0</v>
      </c>
      <c r="J39" s="116">
        <f>IF($A39="","",'Situfin serie mensual'!JN36)</f>
        <v>0</v>
      </c>
      <c r="K39" s="116">
        <f>IF($A39="","",'Situfin serie mensual'!JO36)</f>
        <v>0</v>
      </c>
      <c r="L39" s="116">
        <f>IF($A39="","",'Situfin serie mensual'!JP36)</f>
        <v>0</v>
      </c>
      <c r="M39" s="116">
        <f>IF($A39="","",'Situfin serie mensual'!JQ36)</f>
        <v>0</v>
      </c>
      <c r="N39" s="116">
        <f t="shared" si="1"/>
        <v>1998.319325549</v>
      </c>
      <c r="O39" s="10"/>
      <c r="P39" s="10"/>
    </row>
    <row r="40" spans="1:18" s="119" customFormat="1" ht="12.75" x14ac:dyDescent="0.2">
      <c r="A40" s="31" t="s">
        <v>27</v>
      </c>
      <c r="B40" s="118">
        <f>IF($A40="","",'Situfin serie mensual'!JF37)</f>
        <v>102.036767252</v>
      </c>
      <c r="C40" s="118">
        <f>IF($A40="","",'Situfin serie mensual'!JG37)</f>
        <v>146.78138110699999</v>
      </c>
      <c r="D40" s="118">
        <f>IF($A40="","",'Situfin serie mensual'!JH37)</f>
        <v>151.47878214800002</v>
      </c>
      <c r="E40" s="118">
        <f>IF($A40="","",'Situfin serie mensual'!JI37)</f>
        <v>107.430160134</v>
      </c>
      <c r="F40" s="118">
        <f>IF($A40="","",'Situfin serie mensual'!JJ37)</f>
        <v>0</v>
      </c>
      <c r="G40" s="118">
        <f>IF($A40="","",'Situfin serie mensual'!JK37)</f>
        <v>0</v>
      </c>
      <c r="H40" s="118">
        <f>IF($A40="","",'Situfin serie mensual'!JL37)</f>
        <v>0</v>
      </c>
      <c r="I40" s="118">
        <f>IF($A40="","",'Situfin serie mensual'!JM37)</f>
        <v>0</v>
      </c>
      <c r="J40" s="118">
        <f>IF($A40="","",'Situfin serie mensual'!JN37)</f>
        <v>0</v>
      </c>
      <c r="K40" s="118">
        <f>IF($A40="","",'Situfin serie mensual'!JO37)</f>
        <v>0</v>
      </c>
      <c r="L40" s="118">
        <f>IF($A40="","",'Situfin serie mensual'!JP37)</f>
        <v>0</v>
      </c>
      <c r="M40" s="118">
        <f>IF($A40="","",'Situfin serie mensual'!JQ37)</f>
        <v>0</v>
      </c>
      <c r="N40" s="118">
        <f t="shared" si="1"/>
        <v>507.72709064100002</v>
      </c>
      <c r="O40" s="10"/>
      <c r="P40" s="10"/>
    </row>
    <row r="41" spans="1:18" s="119" customFormat="1" ht="12.75" x14ac:dyDescent="0.2">
      <c r="A41" s="31" t="s">
        <v>28</v>
      </c>
      <c r="B41" s="118">
        <f>IF($A41="","",'Situfin serie mensual'!JF38)</f>
        <v>357.46666342100002</v>
      </c>
      <c r="C41" s="118">
        <f>IF($A41="","",'Situfin serie mensual'!JG38)</f>
        <v>368.28958159500002</v>
      </c>
      <c r="D41" s="118">
        <f>IF($A41="","",'Situfin serie mensual'!JH38)</f>
        <v>363.86588609500001</v>
      </c>
      <c r="E41" s="118">
        <f>IF($A41="","",'Situfin serie mensual'!JI38)</f>
        <v>254.02383379799997</v>
      </c>
      <c r="F41" s="118">
        <f>IF($A41="","",'Situfin serie mensual'!JJ38)</f>
        <v>0</v>
      </c>
      <c r="G41" s="118">
        <f>IF($A41="","",'Situfin serie mensual'!JK38)</f>
        <v>0</v>
      </c>
      <c r="H41" s="118">
        <f>IF($A41="","",'Situfin serie mensual'!JL38)</f>
        <v>0</v>
      </c>
      <c r="I41" s="118">
        <f>IF($A41="","",'Situfin serie mensual'!JM38)</f>
        <v>0</v>
      </c>
      <c r="J41" s="118">
        <f>IF($A41="","",'Situfin serie mensual'!JN38)</f>
        <v>0</v>
      </c>
      <c r="K41" s="118">
        <f>IF($A41="","",'Situfin serie mensual'!JO38)</f>
        <v>0</v>
      </c>
      <c r="L41" s="118">
        <f>IF($A41="","",'Situfin serie mensual'!JP38)</f>
        <v>0</v>
      </c>
      <c r="M41" s="118">
        <f>IF($A41="","",'Situfin serie mensual'!JQ38)</f>
        <v>0</v>
      </c>
      <c r="N41" s="118">
        <f t="shared" si="1"/>
        <v>1343.645964909</v>
      </c>
      <c r="O41" s="10"/>
      <c r="P41" s="10"/>
    </row>
    <row r="42" spans="1:18" s="119" customFormat="1" ht="12.75" x14ac:dyDescent="0.2">
      <c r="A42" s="31" t="s">
        <v>29</v>
      </c>
      <c r="B42" s="118">
        <f>IF($A42="","",'Situfin serie mensual'!JF39)</f>
        <v>1.6234421970000001</v>
      </c>
      <c r="C42" s="118">
        <f>IF($A42="","",'Situfin serie mensual'!JG39)</f>
        <v>-4.9448600000000006E-3</v>
      </c>
      <c r="D42" s="118">
        <f>IF($A42="","",'Situfin serie mensual'!JH39)</f>
        <v>6.3582425430000002</v>
      </c>
      <c r="E42" s="118">
        <f>IF($A42="","",'Situfin serie mensual'!JI39)</f>
        <v>6.365432524</v>
      </c>
      <c r="F42" s="118">
        <f>IF($A42="","",'Situfin serie mensual'!JJ39)</f>
        <v>0</v>
      </c>
      <c r="G42" s="118">
        <f>IF($A42="","",'Situfin serie mensual'!JK39)</f>
        <v>0</v>
      </c>
      <c r="H42" s="118">
        <f>IF($A42="","",'Situfin serie mensual'!JL39)</f>
        <v>0</v>
      </c>
      <c r="I42" s="118">
        <f>IF($A42="","",'Situfin serie mensual'!JM39)</f>
        <v>0</v>
      </c>
      <c r="J42" s="118">
        <f>IF($A42="","",'Situfin serie mensual'!JN39)</f>
        <v>0</v>
      </c>
      <c r="K42" s="118">
        <f>IF($A42="","",'Situfin serie mensual'!JO39)</f>
        <v>0</v>
      </c>
      <c r="L42" s="118">
        <f>IF($A42="","",'Situfin serie mensual'!JP39)</f>
        <v>0</v>
      </c>
      <c r="M42" s="118">
        <f>IF($A42="","",'Situfin serie mensual'!JQ39)</f>
        <v>0</v>
      </c>
      <c r="N42" s="118">
        <f t="shared" si="1"/>
        <v>14.342172403999999</v>
      </c>
      <c r="O42" s="10"/>
      <c r="P42" s="10"/>
    </row>
    <row r="43" spans="1:18" s="119" customFormat="1" ht="12.75" x14ac:dyDescent="0.2">
      <c r="A43" s="31" t="s">
        <v>30</v>
      </c>
      <c r="B43" s="118">
        <f>IF($A43="","",'Situfin serie mensual'!JF40)</f>
        <v>0</v>
      </c>
      <c r="C43" s="118">
        <f>IF($A43="","",'Situfin serie mensual'!JG40)</f>
        <v>38.986669999999926</v>
      </c>
      <c r="D43" s="118">
        <f>IF($A43="","",'Situfin serie mensual'!JH40)</f>
        <v>93.617427595000009</v>
      </c>
      <c r="E43" s="118">
        <f>IF($A43="","",'Situfin serie mensual'!JI40)</f>
        <v>0</v>
      </c>
      <c r="F43" s="118">
        <f>IF($A43="","",'Situfin serie mensual'!JJ40)</f>
        <v>0</v>
      </c>
      <c r="G43" s="118">
        <f>IF($A43="","",'Situfin serie mensual'!JK40)</f>
        <v>0</v>
      </c>
      <c r="H43" s="118">
        <f>IF($A43="","",'Situfin serie mensual'!JL40)</f>
        <v>0</v>
      </c>
      <c r="I43" s="118">
        <f>IF($A43="","",'Situfin serie mensual'!JM40)</f>
        <v>0</v>
      </c>
      <c r="J43" s="118">
        <f>IF($A43="","",'Situfin serie mensual'!JN40)</f>
        <v>0</v>
      </c>
      <c r="K43" s="118">
        <f>IF($A43="","",'Situfin serie mensual'!JO40)</f>
        <v>0</v>
      </c>
      <c r="L43" s="118">
        <f>IF($A43="","",'Situfin serie mensual'!JP40)</f>
        <v>0</v>
      </c>
      <c r="M43" s="118">
        <f>IF($A43="","",'Situfin serie mensual'!JQ40)</f>
        <v>0</v>
      </c>
      <c r="N43" s="118">
        <f t="shared" si="1"/>
        <v>132.60409759499993</v>
      </c>
      <c r="O43" s="10"/>
      <c r="P43" s="10"/>
    </row>
    <row r="44" spans="1:18" s="119" customFormat="1" ht="12.75" x14ac:dyDescent="0.2">
      <c r="A44" s="155" t="s">
        <v>31</v>
      </c>
      <c r="B44" s="116">
        <f>IF($A44="","",'Situfin serie mensual'!JF41)</f>
        <v>556.18368693000002</v>
      </c>
      <c r="C44" s="116">
        <f>IF($A44="","",'Situfin serie mensual'!JG41)</f>
        <v>366.84121556100001</v>
      </c>
      <c r="D44" s="116">
        <f>IF($A44="","",'Situfin serie mensual'!JH41)</f>
        <v>945.49403998800005</v>
      </c>
      <c r="E44" s="116">
        <f>IF($A44="","",'Situfin serie mensual'!JI41)</f>
        <v>448.61504863800002</v>
      </c>
      <c r="F44" s="116">
        <f>IF($A44="","",'Situfin serie mensual'!JJ41)</f>
        <v>0</v>
      </c>
      <c r="G44" s="116">
        <f>IF($A44="","",'Situfin serie mensual'!JK41)</f>
        <v>0</v>
      </c>
      <c r="H44" s="116">
        <f>IF($A44="","",'Situfin serie mensual'!JL41)</f>
        <v>0</v>
      </c>
      <c r="I44" s="116">
        <f>IF($A44="","",'Situfin serie mensual'!JM41)</f>
        <v>0</v>
      </c>
      <c r="J44" s="116">
        <f>IF($A44="","",'Situfin serie mensual'!JN41)</f>
        <v>0</v>
      </c>
      <c r="K44" s="116">
        <f>IF($A44="","",'Situfin serie mensual'!JO41)</f>
        <v>0</v>
      </c>
      <c r="L44" s="116">
        <f>IF($A44="","",'Situfin serie mensual'!JP41)</f>
        <v>0</v>
      </c>
      <c r="M44" s="116">
        <f>IF($A44="","",'Situfin serie mensual'!JQ41)</f>
        <v>0</v>
      </c>
      <c r="N44" s="116">
        <f t="shared" si="1"/>
        <v>2317.1339911170003</v>
      </c>
      <c r="O44" s="10"/>
      <c r="P44" s="10"/>
    </row>
    <row r="45" spans="1:18" s="119" customFormat="1" ht="12.75" x14ac:dyDescent="0.2">
      <c r="A45" s="31" t="s">
        <v>32</v>
      </c>
      <c r="B45" s="118">
        <f>IF($A45="","",'Situfin serie mensual'!JF42)</f>
        <v>424.74412412999999</v>
      </c>
      <c r="C45" s="118">
        <f>IF($A45="","",'Situfin serie mensual'!JG42)</f>
        <v>306.04701874400001</v>
      </c>
      <c r="D45" s="118">
        <f>IF($A45="","",'Situfin serie mensual'!JH42)</f>
        <v>913.25409598800002</v>
      </c>
      <c r="E45" s="118">
        <f>IF($A45="","",'Situfin serie mensual'!JI42)</f>
        <v>421.5709592</v>
      </c>
      <c r="F45" s="118">
        <f>IF($A45="","",'Situfin serie mensual'!JJ42)</f>
        <v>0</v>
      </c>
      <c r="G45" s="118">
        <f>IF($A45="","",'Situfin serie mensual'!JK42)</f>
        <v>0</v>
      </c>
      <c r="H45" s="118">
        <f>IF($A45="","",'Situfin serie mensual'!JL42)</f>
        <v>0</v>
      </c>
      <c r="I45" s="118">
        <f>IF($A45="","",'Situfin serie mensual'!JM42)</f>
        <v>0</v>
      </c>
      <c r="J45" s="118">
        <f>IF($A45="","",'Situfin serie mensual'!JN42)</f>
        <v>0</v>
      </c>
      <c r="K45" s="118">
        <f>IF($A45="","",'Situfin serie mensual'!JO42)</f>
        <v>0</v>
      </c>
      <c r="L45" s="118">
        <f>IF($A45="","",'Situfin serie mensual'!JP42)</f>
        <v>0</v>
      </c>
      <c r="M45" s="118">
        <f>IF($A45="","",'Situfin serie mensual'!JQ42)</f>
        <v>0</v>
      </c>
      <c r="N45" s="118">
        <f t="shared" si="1"/>
        <v>2065.616198062</v>
      </c>
      <c r="O45" s="10"/>
      <c r="P45" s="10"/>
      <c r="Q45" s="10"/>
      <c r="R45" s="147"/>
    </row>
    <row r="46" spans="1:18" s="119" customFormat="1" ht="12.75" x14ac:dyDescent="0.2">
      <c r="A46" s="31" t="s">
        <v>33</v>
      </c>
      <c r="B46" s="118">
        <f>IF($A46="","",'Situfin serie mensual'!JF43)</f>
        <v>131.4395628</v>
      </c>
      <c r="C46" s="118">
        <f>IF($A46="","",'Situfin serie mensual'!JG43)</f>
        <v>60.794196817</v>
      </c>
      <c r="D46" s="118">
        <f>IF($A46="","",'Situfin serie mensual'!JH43)</f>
        <v>32.239944000000001</v>
      </c>
      <c r="E46" s="118">
        <f>IF($A46="","",'Situfin serie mensual'!JI43)</f>
        <v>27.044089438</v>
      </c>
      <c r="F46" s="118">
        <f>IF($A46="","",'Situfin serie mensual'!JJ43)</f>
        <v>0</v>
      </c>
      <c r="G46" s="118">
        <f>IF($A46="","",'Situfin serie mensual'!JK43)</f>
        <v>0</v>
      </c>
      <c r="H46" s="118">
        <f>IF($A46="","",'Situfin serie mensual'!JL43)</f>
        <v>0</v>
      </c>
      <c r="I46" s="118">
        <f>IF($A46="","",'Situfin serie mensual'!JM43)</f>
        <v>0</v>
      </c>
      <c r="J46" s="118">
        <f>IF($A46="","",'Situfin serie mensual'!JN43)</f>
        <v>0</v>
      </c>
      <c r="K46" s="118">
        <f>IF($A46="","",'Situfin serie mensual'!JO43)</f>
        <v>0</v>
      </c>
      <c r="L46" s="118">
        <f>IF($A46="","",'Situfin serie mensual'!JP43)</f>
        <v>0</v>
      </c>
      <c r="M46" s="118">
        <f>IF($A46="","",'Situfin serie mensual'!JQ43)</f>
        <v>0</v>
      </c>
      <c r="N46" s="118">
        <f t="shared" si="1"/>
        <v>251.51779305500003</v>
      </c>
      <c r="O46" s="10"/>
      <c r="P46" s="10"/>
    </row>
    <row r="47" spans="1:18" s="119" customFormat="1" ht="12.75" x14ac:dyDescent="0.2">
      <c r="A47" s="13" t="s">
        <v>34</v>
      </c>
      <c r="B47" s="118">
        <f>IF($A47="","",'Situfin serie mensual'!JF44)</f>
        <v>0</v>
      </c>
      <c r="C47" s="118">
        <f>IF($A47="","",'Situfin serie mensual'!JG44)</f>
        <v>0</v>
      </c>
      <c r="D47" s="118">
        <f>IF($A47="","",'Situfin serie mensual'!JH44)</f>
        <v>0</v>
      </c>
      <c r="E47" s="118">
        <f>IF($A47="","",'Situfin serie mensual'!JI44)</f>
        <v>0</v>
      </c>
      <c r="F47" s="118">
        <f>IF($A47="","",'Situfin serie mensual'!JJ44)</f>
        <v>0</v>
      </c>
      <c r="G47" s="118">
        <f>IF($A47="","",'Situfin serie mensual'!JK44)</f>
        <v>0</v>
      </c>
      <c r="H47" s="118">
        <f>IF($A47="","",'Situfin serie mensual'!JL44)</f>
        <v>0</v>
      </c>
      <c r="I47" s="118">
        <f>IF($A47="","",'Situfin serie mensual'!JM44)</f>
        <v>0</v>
      </c>
      <c r="J47" s="118">
        <f>IF($A47="","",'Situfin serie mensual'!JN44)</f>
        <v>0</v>
      </c>
      <c r="K47" s="118">
        <f>IF($A47="","",'Situfin serie mensual'!JO44)</f>
        <v>0</v>
      </c>
      <c r="L47" s="118">
        <f>IF($A47="","",'Situfin serie mensual'!JP44)</f>
        <v>0</v>
      </c>
      <c r="M47" s="118">
        <f>IF($A47="","",'Situfin serie mensual'!JQ44)</f>
        <v>0</v>
      </c>
      <c r="N47" s="118">
        <f t="shared" si="1"/>
        <v>0</v>
      </c>
      <c r="O47" s="10"/>
      <c r="P47" s="10"/>
    </row>
    <row r="48" spans="1:18" s="119" customFormat="1" ht="12.75" x14ac:dyDescent="0.2">
      <c r="A48" s="155" t="s">
        <v>11</v>
      </c>
      <c r="B48" s="116">
        <f>IF($A48="","",'Situfin serie mensual'!JF45)</f>
        <v>342.08510430999996</v>
      </c>
      <c r="C48" s="116">
        <f>IF($A48="","",'Situfin serie mensual'!JG45)</f>
        <v>417.59056264499992</v>
      </c>
      <c r="D48" s="116">
        <f>IF($A48="","",'Situfin serie mensual'!JH45)</f>
        <v>634.20789772899991</v>
      </c>
      <c r="E48" s="116">
        <f>IF($A48="","",'Situfin serie mensual'!JI45)</f>
        <v>450.15544191600003</v>
      </c>
      <c r="F48" s="116">
        <f>IF($A48="","",'Situfin serie mensual'!JJ45)</f>
        <v>0</v>
      </c>
      <c r="G48" s="116">
        <f>IF($A48="","",'Situfin serie mensual'!JK45)</f>
        <v>0</v>
      </c>
      <c r="H48" s="116">
        <f>IF($A48="","",'Situfin serie mensual'!JL45)</f>
        <v>0</v>
      </c>
      <c r="I48" s="116">
        <f>IF($A48="","",'Situfin serie mensual'!JM45)</f>
        <v>0</v>
      </c>
      <c r="J48" s="116">
        <f>IF($A48="","",'Situfin serie mensual'!JN45)</f>
        <v>0</v>
      </c>
      <c r="K48" s="116">
        <f>IF($A48="","",'Situfin serie mensual'!JO45)</f>
        <v>0</v>
      </c>
      <c r="L48" s="116">
        <f>IF($A48="","",'Situfin serie mensual'!JP45)</f>
        <v>0</v>
      </c>
      <c r="M48" s="116">
        <f>IF($A48="","",'Situfin serie mensual'!JQ45)</f>
        <v>0</v>
      </c>
      <c r="N48" s="116">
        <f t="shared" si="1"/>
        <v>1844.0390065999998</v>
      </c>
      <c r="O48" s="10"/>
      <c r="P48" s="10"/>
    </row>
    <row r="49" spans="1:16" s="119" customFormat="1" ht="12.75" x14ac:dyDescent="0.2">
      <c r="A49" s="13" t="s">
        <v>172</v>
      </c>
      <c r="B49" s="118">
        <f>IF($A49="","",'Situfin serie mensual'!JF46)</f>
        <v>0</v>
      </c>
      <c r="C49" s="118">
        <f>IF($A49="","",'Situfin serie mensual'!JG46)</f>
        <v>0</v>
      </c>
      <c r="D49" s="118">
        <f>IF($A49="","",'Situfin serie mensual'!JH46)</f>
        <v>0</v>
      </c>
      <c r="E49" s="118">
        <f>IF($A49="","",'Situfin serie mensual'!JI46)</f>
        <v>0</v>
      </c>
      <c r="F49" s="118">
        <f>IF($A49="","",'Situfin serie mensual'!JJ46)</f>
        <v>0</v>
      </c>
      <c r="G49" s="118">
        <f>IF($A49="","",'Situfin serie mensual'!JK46)</f>
        <v>0</v>
      </c>
      <c r="H49" s="118">
        <f>IF($A49="","",'Situfin serie mensual'!JL46)</f>
        <v>0</v>
      </c>
      <c r="I49" s="118">
        <f>IF($A49="","",'Situfin serie mensual'!JM46)</f>
        <v>0</v>
      </c>
      <c r="J49" s="118">
        <f>IF($A49="","",'Situfin serie mensual'!JN46)</f>
        <v>0</v>
      </c>
      <c r="K49" s="118">
        <f>IF($A49="","",'Situfin serie mensual'!JO46)</f>
        <v>0</v>
      </c>
      <c r="L49" s="118">
        <f>IF($A49="","",'Situfin serie mensual'!JP46)</f>
        <v>0</v>
      </c>
      <c r="M49" s="118">
        <f>IF($A49="","",'Situfin serie mensual'!JQ46)</f>
        <v>0</v>
      </c>
      <c r="N49" s="118">
        <f t="shared" si="1"/>
        <v>0</v>
      </c>
      <c r="O49" s="10"/>
      <c r="P49" s="10"/>
    </row>
    <row r="50" spans="1:16" s="119" customFormat="1" ht="12.75" x14ac:dyDescent="0.2">
      <c r="A50" s="13" t="s">
        <v>13</v>
      </c>
      <c r="B50" s="118">
        <f>IF($A50="","",'Situfin serie mensual'!JF47)</f>
        <v>0</v>
      </c>
      <c r="C50" s="118">
        <f>IF($A50="","",'Situfin serie mensual'!JG47)</f>
        <v>0</v>
      </c>
      <c r="D50" s="118">
        <f>IF($A50="","",'Situfin serie mensual'!JH47)</f>
        <v>0</v>
      </c>
      <c r="E50" s="118">
        <f>IF($A50="","",'Situfin serie mensual'!JI47)</f>
        <v>0</v>
      </c>
      <c r="F50" s="118">
        <f>IF($A50="","",'Situfin serie mensual'!JJ47)</f>
        <v>0</v>
      </c>
      <c r="G50" s="118">
        <f>IF($A50="","",'Situfin serie mensual'!JK47)</f>
        <v>0</v>
      </c>
      <c r="H50" s="118">
        <f>IF($A50="","",'Situfin serie mensual'!JL47)</f>
        <v>0</v>
      </c>
      <c r="I50" s="118">
        <f>IF($A50="","",'Situfin serie mensual'!JM47)</f>
        <v>0</v>
      </c>
      <c r="J50" s="118">
        <f>IF($A50="","",'Situfin serie mensual'!JN47)</f>
        <v>0</v>
      </c>
      <c r="K50" s="118">
        <f>IF($A50="","",'Situfin serie mensual'!JO47)</f>
        <v>0</v>
      </c>
      <c r="L50" s="118">
        <f>IF($A50="","",'Situfin serie mensual'!JP47)</f>
        <v>0</v>
      </c>
      <c r="M50" s="118">
        <f>IF($A50="","",'Situfin serie mensual'!JQ47)</f>
        <v>0</v>
      </c>
      <c r="N50" s="118">
        <f t="shared" si="1"/>
        <v>0</v>
      </c>
      <c r="O50" s="10"/>
      <c r="P50" s="10"/>
    </row>
    <row r="51" spans="1:16" s="119" customFormat="1" ht="12.75" x14ac:dyDescent="0.2">
      <c r="A51" s="13" t="s">
        <v>14</v>
      </c>
      <c r="B51" s="118">
        <f>IF($A51="","",'Situfin serie mensual'!JF48)</f>
        <v>0</v>
      </c>
      <c r="C51" s="118">
        <f>IF($A51="","",'Situfin serie mensual'!JG48)</f>
        <v>0</v>
      </c>
      <c r="D51" s="118">
        <f>IF($A51="","",'Situfin serie mensual'!JH48)</f>
        <v>0</v>
      </c>
      <c r="E51" s="118">
        <f>IF($A51="","",'Situfin serie mensual'!JI48)</f>
        <v>0</v>
      </c>
      <c r="F51" s="118">
        <f>IF($A51="","",'Situfin serie mensual'!JJ48)</f>
        <v>0</v>
      </c>
      <c r="G51" s="118">
        <f>IF($A51="","",'Situfin serie mensual'!JK48)</f>
        <v>0</v>
      </c>
      <c r="H51" s="118">
        <f>IF($A51="","",'Situfin serie mensual'!JL48)</f>
        <v>0</v>
      </c>
      <c r="I51" s="118">
        <f>IF($A51="","",'Situfin serie mensual'!JM48)</f>
        <v>0</v>
      </c>
      <c r="J51" s="118">
        <f>IF($A51="","",'Situfin serie mensual'!JN48)</f>
        <v>0</v>
      </c>
      <c r="K51" s="118">
        <f>IF($A51="","",'Situfin serie mensual'!JO48)</f>
        <v>0</v>
      </c>
      <c r="L51" s="118">
        <f>IF($A51="","",'Situfin serie mensual'!JP48)</f>
        <v>0</v>
      </c>
      <c r="M51" s="118">
        <f>IF($A51="","",'Situfin serie mensual'!JQ48)</f>
        <v>0</v>
      </c>
      <c r="N51" s="118">
        <f t="shared" si="1"/>
        <v>0</v>
      </c>
      <c r="O51" s="10"/>
      <c r="P51" s="10"/>
    </row>
    <row r="52" spans="1:16" s="119" customFormat="1" ht="12.75" x14ac:dyDescent="0.2">
      <c r="A52" s="13" t="s">
        <v>153</v>
      </c>
      <c r="B52" s="118">
        <f>IF($A52="","",'Situfin serie mensual'!JF49)</f>
        <v>0.44917211600000001</v>
      </c>
      <c r="C52" s="118">
        <f>IF($A52="","",'Situfin serie mensual'!JG49)</f>
        <v>2.7220439399999998</v>
      </c>
      <c r="D52" s="118">
        <f>IF($A52="","",'Situfin serie mensual'!JH49)</f>
        <v>1.5069597689999992</v>
      </c>
      <c r="E52" s="118">
        <f>IF($A52="","",'Situfin serie mensual'!JI49)</f>
        <v>3.7601136689999999</v>
      </c>
      <c r="F52" s="118">
        <f>IF($A52="","",'Situfin serie mensual'!JJ49)</f>
        <v>0</v>
      </c>
      <c r="G52" s="118">
        <f>IF($A52="","",'Situfin serie mensual'!JK49)</f>
        <v>0</v>
      </c>
      <c r="H52" s="118">
        <f>IF($A52="","",'Situfin serie mensual'!JL49)</f>
        <v>0</v>
      </c>
      <c r="I52" s="118">
        <f>IF($A52="","",'Situfin serie mensual'!JM49)</f>
        <v>0</v>
      </c>
      <c r="J52" s="118">
        <f>IF($A52="","",'Situfin serie mensual'!JN49)</f>
        <v>0</v>
      </c>
      <c r="K52" s="118">
        <f>IF($A52="","",'Situfin serie mensual'!JO49)</f>
        <v>0</v>
      </c>
      <c r="L52" s="118">
        <f>IF($A52="","",'Situfin serie mensual'!JP49)</f>
        <v>0</v>
      </c>
      <c r="M52" s="118">
        <f>IF($A52="","",'Situfin serie mensual'!JQ49)</f>
        <v>0</v>
      </c>
      <c r="N52" s="118">
        <f t="shared" si="1"/>
        <v>8.4382894939999993</v>
      </c>
      <c r="O52" s="10"/>
      <c r="P52" s="10"/>
    </row>
    <row r="53" spans="1:16" s="119" customFormat="1" ht="12.75" x14ac:dyDescent="0.2">
      <c r="A53" s="13" t="s">
        <v>13</v>
      </c>
      <c r="B53" s="118">
        <f>IF($A53="","",'Situfin serie mensual'!JF50)</f>
        <v>0.44917211600000001</v>
      </c>
      <c r="C53" s="118">
        <f>IF($A53="","",'Situfin serie mensual'!JG50)</f>
        <v>2.7220439399999998</v>
      </c>
      <c r="D53" s="118">
        <f>IF($A53="","",'Situfin serie mensual'!JH50)</f>
        <v>1.5069597689999992</v>
      </c>
      <c r="E53" s="118">
        <f>IF($A53="","",'Situfin serie mensual'!JI50)</f>
        <v>3.7601136689999999</v>
      </c>
      <c r="F53" s="118">
        <f>IF($A53="","",'Situfin serie mensual'!JJ50)</f>
        <v>0</v>
      </c>
      <c r="G53" s="118">
        <f>IF($A53="","",'Situfin serie mensual'!JK50)</f>
        <v>0</v>
      </c>
      <c r="H53" s="118">
        <f>IF($A53="","",'Situfin serie mensual'!JL50)</f>
        <v>0</v>
      </c>
      <c r="I53" s="118">
        <f>IF($A53="","",'Situfin serie mensual'!JM50)</f>
        <v>0</v>
      </c>
      <c r="J53" s="118">
        <f>IF($A53="","",'Situfin serie mensual'!JN50)</f>
        <v>0</v>
      </c>
      <c r="K53" s="118">
        <f>IF($A53="","",'Situfin serie mensual'!JO50)</f>
        <v>0</v>
      </c>
      <c r="L53" s="118">
        <f>IF($A53="","",'Situfin serie mensual'!JP50)</f>
        <v>0</v>
      </c>
      <c r="M53" s="118">
        <f>IF($A53="","",'Situfin serie mensual'!JQ50)</f>
        <v>0</v>
      </c>
      <c r="N53" s="118">
        <f t="shared" si="1"/>
        <v>8.4382894939999993</v>
      </c>
      <c r="O53" s="10"/>
      <c r="P53" s="10"/>
    </row>
    <row r="54" spans="1:16" s="119" customFormat="1" ht="12.75" x14ac:dyDescent="0.2">
      <c r="A54" s="13" t="s">
        <v>14</v>
      </c>
      <c r="B54" s="118">
        <f>IF($A54="","",'Situfin serie mensual'!JF51)</f>
        <v>0</v>
      </c>
      <c r="C54" s="118">
        <f>IF($A54="","",'Situfin serie mensual'!JG51)</f>
        <v>0</v>
      </c>
      <c r="D54" s="118">
        <f>IF($A54="","",'Situfin serie mensual'!JH51)</f>
        <v>0</v>
      </c>
      <c r="E54" s="118">
        <f>IF($A54="","",'Situfin serie mensual'!JI51)</f>
        <v>0</v>
      </c>
      <c r="F54" s="118">
        <f>IF($A54="","",'Situfin serie mensual'!JJ51)</f>
        <v>0</v>
      </c>
      <c r="G54" s="118">
        <f>IF($A54="","",'Situfin serie mensual'!JK51)</f>
        <v>0</v>
      </c>
      <c r="H54" s="118">
        <f>IF($A54="","",'Situfin serie mensual'!JL51)</f>
        <v>0</v>
      </c>
      <c r="I54" s="118">
        <f>IF($A54="","",'Situfin serie mensual'!JM51)</f>
        <v>0</v>
      </c>
      <c r="J54" s="118">
        <f>IF($A54="","",'Situfin serie mensual'!JN51)</f>
        <v>0</v>
      </c>
      <c r="K54" s="118">
        <f>IF($A54="","",'Situfin serie mensual'!JO51)</f>
        <v>0</v>
      </c>
      <c r="L54" s="118">
        <f>IF($A54="","",'Situfin serie mensual'!JP51)</f>
        <v>0</v>
      </c>
      <c r="M54" s="118">
        <f>IF($A54="","",'Situfin serie mensual'!JQ51)</f>
        <v>0</v>
      </c>
      <c r="N54" s="118">
        <f t="shared" si="1"/>
        <v>0</v>
      </c>
      <c r="O54" s="10"/>
      <c r="P54" s="10"/>
    </row>
    <row r="55" spans="1:16" s="119" customFormat="1" ht="12.75" x14ac:dyDescent="0.2">
      <c r="A55" s="13" t="s">
        <v>154</v>
      </c>
      <c r="B55" s="118">
        <f>IF($A55="","",'Situfin serie mensual'!JF52)</f>
        <v>341.63593219399996</v>
      </c>
      <c r="C55" s="118">
        <f>IF($A55="","",'Situfin serie mensual'!JG52)</f>
        <v>414.86851870499993</v>
      </c>
      <c r="D55" s="118">
        <f>IF($A55="","",'Situfin serie mensual'!JH52)</f>
        <v>632.70093795999992</v>
      </c>
      <c r="E55" s="118">
        <f>IF($A55="","",'Situfin serie mensual'!JI52)</f>
        <v>446.39532824700001</v>
      </c>
      <c r="F55" s="118">
        <f>IF($A55="","",'Situfin serie mensual'!JJ52)</f>
        <v>0</v>
      </c>
      <c r="G55" s="118">
        <f>IF($A55="","",'Situfin serie mensual'!JK52)</f>
        <v>0</v>
      </c>
      <c r="H55" s="118">
        <f>IF($A55="","",'Situfin serie mensual'!JL52)</f>
        <v>0</v>
      </c>
      <c r="I55" s="118">
        <f>IF($A55="","",'Situfin serie mensual'!JM52)</f>
        <v>0</v>
      </c>
      <c r="J55" s="118">
        <f>IF($A55="","",'Situfin serie mensual'!JN52)</f>
        <v>0</v>
      </c>
      <c r="K55" s="118">
        <f>IF($A55="","",'Situfin serie mensual'!JO52)</f>
        <v>0</v>
      </c>
      <c r="L55" s="118">
        <f>IF($A55="","",'Situfin serie mensual'!JP52)</f>
        <v>0</v>
      </c>
      <c r="M55" s="118">
        <f>IF($A55="","",'Situfin serie mensual'!JQ52)</f>
        <v>0</v>
      </c>
      <c r="N55" s="118">
        <f t="shared" si="1"/>
        <v>1835.6007171059998</v>
      </c>
      <c r="O55" s="10"/>
      <c r="P55" s="10"/>
    </row>
    <row r="56" spans="1:16" s="119" customFormat="1" ht="12.75" x14ac:dyDescent="0.2">
      <c r="A56" s="13" t="s">
        <v>13</v>
      </c>
      <c r="B56" s="118">
        <f>IF($A56="","",'Situfin serie mensual'!JF53)</f>
        <v>231.00867597699997</v>
      </c>
      <c r="C56" s="118">
        <f>IF($A56="","",'Situfin serie mensual'!JG53)</f>
        <v>297.45527364799995</v>
      </c>
      <c r="D56" s="118">
        <f>IF($A56="","",'Situfin serie mensual'!JH53)</f>
        <v>416.22886815399994</v>
      </c>
      <c r="E56" s="118">
        <f>IF($A56="","",'Situfin serie mensual'!JI53)</f>
        <v>308.01999724699999</v>
      </c>
      <c r="F56" s="118">
        <f>IF($A56="","",'Situfin serie mensual'!JJ53)</f>
        <v>0</v>
      </c>
      <c r="G56" s="118">
        <f>IF($A56="","",'Situfin serie mensual'!JK53)</f>
        <v>0</v>
      </c>
      <c r="H56" s="118">
        <f>IF($A56="","",'Situfin serie mensual'!JL53)</f>
        <v>0</v>
      </c>
      <c r="I56" s="118">
        <f>IF($A56="","",'Situfin serie mensual'!JM53)</f>
        <v>0</v>
      </c>
      <c r="J56" s="118">
        <f>IF($A56="","",'Situfin serie mensual'!JN53)</f>
        <v>0</v>
      </c>
      <c r="K56" s="118">
        <f>IF($A56="","",'Situfin serie mensual'!JO53)</f>
        <v>0</v>
      </c>
      <c r="L56" s="118">
        <f>IF($A56="","",'Situfin serie mensual'!JP53)</f>
        <v>0</v>
      </c>
      <c r="M56" s="118">
        <f>IF($A56="","",'Situfin serie mensual'!JQ53)</f>
        <v>0</v>
      </c>
      <c r="N56" s="118">
        <f t="shared" si="1"/>
        <v>1252.7128150259998</v>
      </c>
      <c r="O56" s="10"/>
      <c r="P56" s="10"/>
    </row>
    <row r="57" spans="1:16" s="119" customFormat="1" ht="12.75" x14ac:dyDescent="0.2">
      <c r="A57" s="13" t="s">
        <v>14</v>
      </c>
      <c r="B57" s="118">
        <f>IF($A57="","",'Situfin serie mensual'!JF54)</f>
        <v>110.62725621699998</v>
      </c>
      <c r="C57" s="118">
        <f>IF($A57="","",'Situfin serie mensual'!JG54)</f>
        <v>117.41324505700001</v>
      </c>
      <c r="D57" s="118">
        <f>IF($A57="","",'Situfin serie mensual'!JH54)</f>
        <v>216.47206980600001</v>
      </c>
      <c r="E57" s="118">
        <f>IF($A57="","",'Situfin serie mensual'!JI54)</f>
        <v>138.37533100000002</v>
      </c>
      <c r="F57" s="118">
        <f>IF($A57="","",'Situfin serie mensual'!JJ54)</f>
        <v>0</v>
      </c>
      <c r="G57" s="118">
        <f>IF($A57="","",'Situfin serie mensual'!JK54)</f>
        <v>0</v>
      </c>
      <c r="H57" s="118">
        <f>IF($A57="","",'Situfin serie mensual'!JL54)</f>
        <v>0</v>
      </c>
      <c r="I57" s="118">
        <f>IF($A57="","",'Situfin serie mensual'!JM54)</f>
        <v>0</v>
      </c>
      <c r="J57" s="118">
        <f>IF($A57="","",'Situfin serie mensual'!JN54)</f>
        <v>0</v>
      </c>
      <c r="K57" s="118">
        <f>IF($A57="","",'Situfin serie mensual'!JO54)</f>
        <v>0</v>
      </c>
      <c r="L57" s="118">
        <f>IF($A57="","",'Situfin serie mensual'!JP54)</f>
        <v>0</v>
      </c>
      <c r="M57" s="118">
        <f>IF($A57="","",'Situfin serie mensual'!JQ54)</f>
        <v>0</v>
      </c>
      <c r="N57" s="118">
        <f t="shared" si="1"/>
        <v>582.88790208</v>
      </c>
      <c r="O57" s="10"/>
      <c r="P57" s="10"/>
    </row>
    <row r="58" spans="1:16" s="119" customFormat="1" ht="12.75" x14ac:dyDescent="0.2">
      <c r="A58" s="155" t="s">
        <v>35</v>
      </c>
      <c r="B58" s="116">
        <f>IF($A58="","",'Situfin serie mensual'!JF55)</f>
        <v>818.75361103</v>
      </c>
      <c r="C58" s="116">
        <f>IF($A58="","",'Situfin serie mensual'!JG55)</f>
        <v>862.11454858799993</v>
      </c>
      <c r="D58" s="116">
        <f>IF($A58="","",'Situfin serie mensual'!JH55)</f>
        <v>814.87698024500003</v>
      </c>
      <c r="E58" s="116">
        <f>IF($A58="","",'Situfin serie mensual'!JI55)</f>
        <v>859.83719743500001</v>
      </c>
      <c r="F58" s="116">
        <f>IF($A58="","",'Situfin serie mensual'!JJ55)</f>
        <v>0</v>
      </c>
      <c r="G58" s="116">
        <f>IF($A58="","",'Situfin serie mensual'!JK55)</f>
        <v>0</v>
      </c>
      <c r="H58" s="116">
        <f>IF($A58="","",'Situfin serie mensual'!JL55)</f>
        <v>0</v>
      </c>
      <c r="I58" s="116">
        <f>IF($A58="","",'Situfin serie mensual'!JM55)</f>
        <v>0</v>
      </c>
      <c r="J58" s="116">
        <f>IF($A58="","",'Situfin serie mensual'!JN55)</f>
        <v>0</v>
      </c>
      <c r="K58" s="116">
        <f>IF($A58="","",'Situfin serie mensual'!JO55)</f>
        <v>0</v>
      </c>
      <c r="L58" s="116">
        <f>IF($A58="","",'Situfin serie mensual'!JP55)</f>
        <v>0</v>
      </c>
      <c r="M58" s="116">
        <f>IF($A58="","",'Situfin serie mensual'!JQ55)</f>
        <v>0</v>
      </c>
      <c r="N58" s="116">
        <f t="shared" si="1"/>
        <v>3355.5823372980003</v>
      </c>
      <c r="O58" s="10"/>
      <c r="P58" s="10"/>
    </row>
    <row r="59" spans="1:16" s="119" customFormat="1" ht="12.75" x14ac:dyDescent="0.2">
      <c r="A59" s="31" t="s">
        <v>36</v>
      </c>
      <c r="B59" s="118">
        <f>IF($A59="","",'Situfin serie mensual'!JF56)</f>
        <v>451.85031147100005</v>
      </c>
      <c r="C59" s="118">
        <f>IF($A59="","",'Situfin serie mensual'!JG56)</f>
        <v>499.81483557799993</v>
      </c>
      <c r="D59" s="118">
        <f>IF($A59="","",'Situfin serie mensual'!JH56)</f>
        <v>468.63518218099995</v>
      </c>
      <c r="E59" s="118">
        <f>IF($A59="","",'Situfin serie mensual'!JI56)</f>
        <v>495.79143855900003</v>
      </c>
      <c r="F59" s="118">
        <f>IF($A59="","",'Situfin serie mensual'!JJ56)</f>
        <v>0</v>
      </c>
      <c r="G59" s="118">
        <f>IF($A59="","",'Situfin serie mensual'!JK56)</f>
        <v>0</v>
      </c>
      <c r="H59" s="118">
        <f>IF($A59="","",'Situfin serie mensual'!JL56)</f>
        <v>0</v>
      </c>
      <c r="I59" s="118">
        <f>IF($A59="","",'Situfin serie mensual'!JM56)</f>
        <v>0</v>
      </c>
      <c r="J59" s="118">
        <f>IF($A59="","",'Situfin serie mensual'!JN56)</f>
        <v>0</v>
      </c>
      <c r="K59" s="118">
        <f>IF($A59="","",'Situfin serie mensual'!JO56)</f>
        <v>0</v>
      </c>
      <c r="L59" s="118">
        <f>IF($A59="","",'Situfin serie mensual'!JP56)</f>
        <v>0</v>
      </c>
      <c r="M59" s="118">
        <f>IF($A59="","",'Situfin serie mensual'!JQ56)</f>
        <v>0</v>
      </c>
      <c r="N59" s="118">
        <f t="shared" si="1"/>
        <v>1916.091767789</v>
      </c>
      <c r="O59" s="10"/>
      <c r="P59" s="10"/>
    </row>
    <row r="60" spans="1:16" s="119" customFormat="1" ht="12.75" x14ac:dyDescent="0.2">
      <c r="A60" s="31" t="s">
        <v>37</v>
      </c>
      <c r="B60" s="118">
        <f>IF($A60="","",'Situfin serie mensual'!JF57)</f>
        <v>341.56147342100002</v>
      </c>
      <c r="C60" s="118">
        <f>IF($A60="","",'Situfin serie mensual'!JG57)</f>
        <v>329.840290665</v>
      </c>
      <c r="D60" s="118">
        <f>IF($A60="","",'Situfin serie mensual'!JH57)</f>
        <v>308.64348981000001</v>
      </c>
      <c r="E60" s="118">
        <f>IF($A60="","",'Situfin serie mensual'!JI57)</f>
        <v>331.17007284100004</v>
      </c>
      <c r="F60" s="118">
        <f>IF($A60="","",'Situfin serie mensual'!JJ57)</f>
        <v>0</v>
      </c>
      <c r="G60" s="118">
        <f>IF($A60="","",'Situfin serie mensual'!JK57)</f>
        <v>0</v>
      </c>
      <c r="H60" s="118">
        <f>IF($A60="","",'Situfin serie mensual'!JL57)</f>
        <v>0</v>
      </c>
      <c r="I60" s="118">
        <f>IF($A60="","",'Situfin serie mensual'!JM57)</f>
        <v>0</v>
      </c>
      <c r="J60" s="118">
        <f>IF($A60="","",'Situfin serie mensual'!JN57)</f>
        <v>0</v>
      </c>
      <c r="K60" s="118">
        <f>IF($A60="","",'Situfin serie mensual'!JO57)</f>
        <v>0</v>
      </c>
      <c r="L60" s="118">
        <f>IF($A60="","",'Situfin serie mensual'!JP57)</f>
        <v>0</v>
      </c>
      <c r="M60" s="118">
        <f>IF($A60="","",'Situfin serie mensual'!JQ57)</f>
        <v>0</v>
      </c>
      <c r="N60" s="118">
        <f t="shared" si="1"/>
        <v>1311.2153267369999</v>
      </c>
      <c r="O60" s="10"/>
      <c r="P60" s="10"/>
    </row>
    <row r="61" spans="1:16" s="119" customFormat="1" ht="12.75" x14ac:dyDescent="0.2">
      <c r="A61" s="31" t="s">
        <v>38</v>
      </c>
      <c r="B61" s="118">
        <f>IF($A61="","",'Situfin serie mensual'!JF58)</f>
        <v>25.341826137999998</v>
      </c>
      <c r="C61" s="118">
        <f>IF($A61="","",'Situfin serie mensual'!JG58)</f>
        <v>32.459422345</v>
      </c>
      <c r="D61" s="118">
        <f>IF($A61="","",'Situfin serie mensual'!JH58)</f>
        <v>37.598308253999996</v>
      </c>
      <c r="E61" s="118">
        <f>IF($A61="","",'Situfin serie mensual'!JI58)</f>
        <v>32.875686035000001</v>
      </c>
      <c r="F61" s="118">
        <f>IF($A61="","",'Situfin serie mensual'!JJ58)</f>
        <v>0</v>
      </c>
      <c r="G61" s="118">
        <f>IF($A61="","",'Situfin serie mensual'!JK58)</f>
        <v>0</v>
      </c>
      <c r="H61" s="118">
        <f>IF($A61="","",'Situfin serie mensual'!JL58)</f>
        <v>0</v>
      </c>
      <c r="I61" s="118">
        <f>IF($A61="","",'Situfin serie mensual'!JM58)</f>
        <v>0</v>
      </c>
      <c r="J61" s="118">
        <f>IF($A61="","",'Situfin serie mensual'!JN58)</f>
        <v>0</v>
      </c>
      <c r="K61" s="118">
        <f>IF($A61="","",'Situfin serie mensual'!JO58)</f>
        <v>0</v>
      </c>
      <c r="L61" s="118">
        <f>IF($A61="","",'Situfin serie mensual'!JP58)</f>
        <v>0</v>
      </c>
      <c r="M61" s="118">
        <f>IF($A61="","",'Situfin serie mensual'!JQ58)</f>
        <v>0</v>
      </c>
      <c r="N61" s="118">
        <f t="shared" si="1"/>
        <v>128.27524277199998</v>
      </c>
      <c r="O61" s="10"/>
      <c r="P61" s="10"/>
    </row>
    <row r="62" spans="1:16" s="119" customFormat="1" ht="12.75" x14ac:dyDescent="0.2">
      <c r="A62" s="155" t="s">
        <v>39</v>
      </c>
      <c r="B62" s="116">
        <f>IF($A62="","",'Situfin serie mensual'!JF59)</f>
        <v>75.718996438000005</v>
      </c>
      <c r="C62" s="116">
        <f>IF($A62="","",'Situfin serie mensual'!JG59)</f>
        <v>101.501845523</v>
      </c>
      <c r="D62" s="116">
        <f>IF($A62="","",'Situfin serie mensual'!JH59)</f>
        <v>218.19763052999997</v>
      </c>
      <c r="E62" s="116">
        <f>IF($A62="","",'Situfin serie mensual'!JI59)</f>
        <v>58.830591548000001</v>
      </c>
      <c r="F62" s="116">
        <f>IF($A62="","",'Situfin serie mensual'!JJ59)</f>
        <v>0</v>
      </c>
      <c r="G62" s="116">
        <f>IF($A62="","",'Situfin serie mensual'!JK59)</f>
        <v>0</v>
      </c>
      <c r="H62" s="116">
        <f>IF($A62="","",'Situfin serie mensual'!JL59)</f>
        <v>0</v>
      </c>
      <c r="I62" s="116">
        <f>IF($A62="","",'Situfin serie mensual'!JM59)</f>
        <v>0</v>
      </c>
      <c r="J62" s="116">
        <f>IF($A62="","",'Situfin serie mensual'!JN59)</f>
        <v>0</v>
      </c>
      <c r="K62" s="116">
        <f>IF($A62="","",'Situfin serie mensual'!JO59)</f>
        <v>0</v>
      </c>
      <c r="L62" s="116">
        <f>IF($A62="","",'Situfin serie mensual'!JP59)</f>
        <v>0</v>
      </c>
      <c r="M62" s="116">
        <f>IF($A62="","",'Situfin serie mensual'!JQ59)</f>
        <v>0</v>
      </c>
      <c r="N62" s="116">
        <f t="shared" si="1"/>
        <v>454.24906403900002</v>
      </c>
      <c r="O62" s="10"/>
      <c r="P62" s="10"/>
    </row>
    <row r="63" spans="1:16" s="119" customFormat="1" ht="12.75" x14ac:dyDescent="0.2">
      <c r="A63" s="13" t="s">
        <v>40</v>
      </c>
      <c r="B63" s="118">
        <f>IF($A63="","",'Situfin serie mensual'!JF60)</f>
        <v>40.171860508000002</v>
      </c>
      <c r="C63" s="118">
        <f>IF($A63="","",'Situfin serie mensual'!JG60)</f>
        <v>68.375214540000002</v>
      </c>
      <c r="D63" s="118">
        <f>IF($A63="","",'Situfin serie mensual'!JH60)</f>
        <v>18.622001135999998</v>
      </c>
      <c r="E63" s="118">
        <f>IF($A63="","",'Situfin serie mensual'!JI60)</f>
        <v>36.796776799999996</v>
      </c>
      <c r="F63" s="118">
        <f>IF($A63="","",'Situfin serie mensual'!JJ60)</f>
        <v>0</v>
      </c>
      <c r="G63" s="118">
        <f>IF($A63="","",'Situfin serie mensual'!JK60)</f>
        <v>0</v>
      </c>
      <c r="H63" s="118">
        <f>IF($A63="","",'Situfin serie mensual'!JL60)</f>
        <v>0</v>
      </c>
      <c r="I63" s="118">
        <f>IF($A63="","",'Situfin serie mensual'!JM60)</f>
        <v>0</v>
      </c>
      <c r="J63" s="118">
        <f>IF($A63="","",'Situfin serie mensual'!JN60)</f>
        <v>0</v>
      </c>
      <c r="K63" s="118">
        <f>IF($A63="","",'Situfin serie mensual'!JO60)</f>
        <v>0</v>
      </c>
      <c r="L63" s="118">
        <f>IF($A63="","",'Situfin serie mensual'!JP60)</f>
        <v>0</v>
      </c>
      <c r="M63" s="118">
        <f>IF($A63="","",'Situfin serie mensual'!JQ60)</f>
        <v>0</v>
      </c>
      <c r="N63" s="118">
        <f t="shared" si="1"/>
        <v>163.96585298400001</v>
      </c>
      <c r="O63" s="10"/>
      <c r="P63" s="10"/>
    </row>
    <row r="64" spans="1:16" s="119" customFormat="1" ht="12.75" hidden="1" x14ac:dyDescent="0.2">
      <c r="A64" s="33" t="s">
        <v>41</v>
      </c>
      <c r="B64" s="118">
        <f>IF($A64="","",'Situfin serie mensual'!JF61)</f>
        <v>21.401948098000002</v>
      </c>
      <c r="C64" s="118">
        <f>IF($A64="","",'Situfin serie mensual'!JG61)</f>
        <v>43.055683438999999</v>
      </c>
      <c r="D64" s="118">
        <f>IF($A64="","",'Situfin serie mensual'!JH61)</f>
        <v>3</v>
      </c>
      <c r="E64" s="118">
        <f>IF($A64="","",'Situfin serie mensual'!JI61)</f>
        <v>5.1535831609999994</v>
      </c>
      <c r="F64" s="118">
        <f>IF($A64="","",'Situfin serie mensual'!JJ61)</f>
        <v>0</v>
      </c>
      <c r="G64" s="118">
        <f>IF($A64="","",'Situfin serie mensual'!JK61)</f>
        <v>0</v>
      </c>
      <c r="H64" s="118">
        <f>IF($A64="","",'Situfin serie mensual'!JL61)</f>
        <v>0</v>
      </c>
      <c r="I64" s="118">
        <f>IF($A64="","",'Situfin serie mensual'!JM61)</f>
        <v>0</v>
      </c>
      <c r="J64" s="118">
        <f>IF($A64="","",'Situfin serie mensual'!JN61)</f>
        <v>0</v>
      </c>
      <c r="K64" s="118">
        <f>IF($A64="","",'Situfin serie mensual'!JO61)</f>
        <v>0</v>
      </c>
      <c r="L64" s="118">
        <f>IF($A64="","",'Situfin serie mensual'!JP61)</f>
        <v>0</v>
      </c>
      <c r="M64" s="118">
        <f>IF($A64="","",'Situfin serie mensual'!JQ61)</f>
        <v>0</v>
      </c>
      <c r="N64" s="118">
        <f t="shared" si="1"/>
        <v>72.611214697999998</v>
      </c>
      <c r="O64" s="10"/>
      <c r="P64" s="10"/>
    </row>
    <row r="65" spans="1:18" s="119" customFormat="1" ht="12.75" hidden="1" x14ac:dyDescent="0.2">
      <c r="A65" s="33" t="s">
        <v>42</v>
      </c>
      <c r="B65" s="118">
        <f>IF($A65="","",'Situfin serie mensual'!JF62)</f>
        <v>1.2632620030000001</v>
      </c>
      <c r="C65" s="118">
        <f>IF($A65="","",'Situfin serie mensual'!JG62)</f>
        <v>12.059348936000001</v>
      </c>
      <c r="D65" s="118">
        <f>IF($A65="","",'Situfin serie mensual'!JH62)</f>
        <v>5.8447214269999996</v>
      </c>
      <c r="E65" s="118">
        <f>IF($A65="","",'Situfin serie mensual'!JI62)</f>
        <v>10.566600957</v>
      </c>
      <c r="F65" s="118">
        <f>IF($A65="","",'Situfin serie mensual'!JJ62)</f>
        <v>0</v>
      </c>
      <c r="G65" s="118">
        <f>IF($A65="","",'Situfin serie mensual'!JK62)</f>
        <v>0</v>
      </c>
      <c r="H65" s="118">
        <f>IF($A65="","",'Situfin serie mensual'!JL62)</f>
        <v>0</v>
      </c>
      <c r="I65" s="118">
        <f>IF($A65="","",'Situfin serie mensual'!JM62)</f>
        <v>0</v>
      </c>
      <c r="J65" s="118">
        <f>IF($A65="","",'Situfin serie mensual'!JN62)</f>
        <v>0</v>
      </c>
      <c r="K65" s="118">
        <f>IF($A65="","",'Situfin serie mensual'!JO62)</f>
        <v>0</v>
      </c>
      <c r="L65" s="118">
        <f>IF($A65="","",'Situfin serie mensual'!JP62)</f>
        <v>0</v>
      </c>
      <c r="M65" s="118">
        <f>IF($A65="","",'Situfin serie mensual'!JQ62)</f>
        <v>0</v>
      </c>
      <c r="N65" s="118">
        <f t="shared" si="1"/>
        <v>29.733933323000002</v>
      </c>
      <c r="O65" s="10"/>
      <c r="P65" s="10"/>
    </row>
    <row r="66" spans="1:18" s="119" customFormat="1" ht="12.75" hidden="1" x14ac:dyDescent="0.2">
      <c r="A66" s="33" t="s">
        <v>43</v>
      </c>
      <c r="B66" s="118">
        <f>IF($A66="","",'Situfin serie mensual'!JF63)</f>
        <v>0</v>
      </c>
      <c r="C66" s="118">
        <f>IF($A66="","",'Situfin serie mensual'!JG63)</f>
        <v>2</v>
      </c>
      <c r="D66" s="118">
        <f>IF($A66="","",'Situfin serie mensual'!JH63)</f>
        <v>7.8671687000000004E-2</v>
      </c>
      <c r="E66" s="118">
        <f>IF($A66="","",'Situfin serie mensual'!JI63)</f>
        <v>5.0128341439999993</v>
      </c>
      <c r="F66" s="118">
        <f>IF($A66="","",'Situfin serie mensual'!JJ63)</f>
        <v>0</v>
      </c>
      <c r="G66" s="118">
        <f>IF($A66="","",'Situfin serie mensual'!JK63)</f>
        <v>0</v>
      </c>
      <c r="H66" s="118">
        <f>IF($A66="","",'Situfin serie mensual'!JL63)</f>
        <v>0</v>
      </c>
      <c r="I66" s="118">
        <f>IF($A66="","",'Situfin serie mensual'!JM63)</f>
        <v>0</v>
      </c>
      <c r="J66" s="118">
        <f>IF($A66="","",'Situfin serie mensual'!JN63)</f>
        <v>0</v>
      </c>
      <c r="K66" s="118">
        <f>IF($A66="","",'Situfin serie mensual'!JO63)</f>
        <v>0</v>
      </c>
      <c r="L66" s="118">
        <f>IF($A66="","",'Situfin serie mensual'!JP63)</f>
        <v>0</v>
      </c>
      <c r="M66" s="118">
        <f>IF($A66="","",'Situfin serie mensual'!JQ63)</f>
        <v>0</v>
      </c>
      <c r="N66" s="118">
        <f t="shared" si="1"/>
        <v>7.0915058309999992</v>
      </c>
      <c r="O66" s="10"/>
      <c r="P66" s="10"/>
    </row>
    <row r="67" spans="1:18" s="119" customFormat="1" ht="12.75" hidden="1" x14ac:dyDescent="0.2">
      <c r="A67" s="13" t="s">
        <v>44</v>
      </c>
      <c r="B67" s="118">
        <f>IF($A67="","",'Situfin serie mensual'!JF64)</f>
        <v>13.431571811</v>
      </c>
      <c r="C67" s="118">
        <f>IF($A67="","",'Situfin serie mensual'!JG64)</f>
        <v>8.1301821650000008</v>
      </c>
      <c r="D67" s="118">
        <f>IF($A67="","",'Situfin serie mensual'!JH64)</f>
        <v>6.5776080220000006</v>
      </c>
      <c r="E67" s="118">
        <f>IF($A67="","",'Situfin serie mensual'!JI64)</f>
        <v>14.129054625999999</v>
      </c>
      <c r="F67" s="118">
        <f>IF($A67="","",'Situfin serie mensual'!JJ64)</f>
        <v>0</v>
      </c>
      <c r="G67" s="118">
        <f>IF($A67="","",'Situfin serie mensual'!JK64)</f>
        <v>0</v>
      </c>
      <c r="H67" s="118">
        <f>IF($A67="","",'Situfin serie mensual'!JL64)</f>
        <v>0</v>
      </c>
      <c r="I67" s="118">
        <f>IF($A67="","",'Situfin serie mensual'!JM64)</f>
        <v>0</v>
      </c>
      <c r="J67" s="118">
        <f>IF($A67="","",'Situfin serie mensual'!JN64)</f>
        <v>0</v>
      </c>
      <c r="K67" s="118">
        <f>IF($A67="","",'Situfin serie mensual'!JO64)</f>
        <v>0</v>
      </c>
      <c r="L67" s="118">
        <f>IF($A67="","",'Situfin serie mensual'!JP64)</f>
        <v>0</v>
      </c>
      <c r="M67" s="118">
        <f>IF($A67="","",'Situfin serie mensual'!JQ64)</f>
        <v>0</v>
      </c>
      <c r="N67" s="118">
        <f t="shared" si="1"/>
        <v>42.268416623999997</v>
      </c>
      <c r="O67" s="10"/>
      <c r="P67" s="10"/>
    </row>
    <row r="68" spans="1:18" s="119" customFormat="1" ht="12.75" hidden="1" x14ac:dyDescent="0.2">
      <c r="A68" s="13" t="s">
        <v>45</v>
      </c>
      <c r="B68" s="118">
        <f>IF($A68="","",'Situfin serie mensual'!JF65)</f>
        <v>4.075078596</v>
      </c>
      <c r="C68" s="118">
        <f>IF($A68="","",'Situfin serie mensual'!JG65)</f>
        <v>3.13</v>
      </c>
      <c r="D68" s="118">
        <f>IF($A68="","",'Situfin serie mensual'!JH65)</f>
        <v>3.121</v>
      </c>
      <c r="E68" s="118">
        <f>IF($A68="","",'Situfin serie mensual'!JI65)</f>
        <v>1.934703912</v>
      </c>
      <c r="F68" s="118">
        <f>IF($A68="","",'Situfin serie mensual'!JJ65)</f>
        <v>0</v>
      </c>
      <c r="G68" s="118">
        <f>IF($A68="","",'Situfin serie mensual'!JK65)</f>
        <v>0</v>
      </c>
      <c r="H68" s="118">
        <f>IF($A68="","",'Situfin serie mensual'!JL65)</f>
        <v>0</v>
      </c>
      <c r="I68" s="118">
        <f>IF($A68="","",'Situfin serie mensual'!JM65)</f>
        <v>0</v>
      </c>
      <c r="J68" s="118">
        <f>IF($A68="","",'Situfin serie mensual'!JN65)</f>
        <v>0</v>
      </c>
      <c r="K68" s="118">
        <f>IF($A68="","",'Situfin serie mensual'!JO65)</f>
        <v>0</v>
      </c>
      <c r="L68" s="118">
        <f>IF($A68="","",'Situfin serie mensual'!JP65)</f>
        <v>0</v>
      </c>
      <c r="M68" s="118">
        <f>IF($A68="","",'Situfin serie mensual'!JQ65)</f>
        <v>0</v>
      </c>
      <c r="N68" s="118">
        <f t="shared" si="1"/>
        <v>12.260782508</v>
      </c>
      <c r="O68" s="10"/>
      <c r="P68" s="10"/>
    </row>
    <row r="69" spans="1:18" s="119" customFormat="1" ht="12.75" x14ac:dyDescent="0.2">
      <c r="A69" s="13" t="s">
        <v>173</v>
      </c>
      <c r="B69" s="118">
        <f>IF($A69="","",'Situfin serie mensual'!JF66)</f>
        <v>35.547135930000003</v>
      </c>
      <c r="C69" s="118">
        <f>IF($A69="","",'Situfin serie mensual'!JG66)</f>
        <v>33.126630982999998</v>
      </c>
      <c r="D69" s="118">
        <f>IF($A69="","",'Situfin serie mensual'!JH66)</f>
        <v>199.57562939399998</v>
      </c>
      <c r="E69" s="118">
        <f>IF($A69="","",'Situfin serie mensual'!JI66)</f>
        <v>22.033814748000001</v>
      </c>
      <c r="F69" s="118">
        <f>IF($A69="","",'Situfin serie mensual'!JJ66)</f>
        <v>0</v>
      </c>
      <c r="G69" s="118">
        <f>IF($A69="","",'Situfin serie mensual'!JK66)</f>
        <v>0</v>
      </c>
      <c r="H69" s="118">
        <f>IF($A69="","",'Situfin serie mensual'!JL66)</f>
        <v>0</v>
      </c>
      <c r="I69" s="118">
        <f>IF($A69="","",'Situfin serie mensual'!JM66)</f>
        <v>0</v>
      </c>
      <c r="J69" s="118">
        <f>IF($A69="","",'Situfin serie mensual'!JN66)</f>
        <v>0</v>
      </c>
      <c r="K69" s="118">
        <f>IF($A69="","",'Situfin serie mensual'!JO66)</f>
        <v>0</v>
      </c>
      <c r="L69" s="118">
        <f>IF($A69="","",'Situfin serie mensual'!JP66)</f>
        <v>0</v>
      </c>
      <c r="M69" s="118">
        <f>IF($A69="","",'Situfin serie mensual'!JQ66)</f>
        <v>0</v>
      </c>
      <c r="N69" s="118">
        <f t="shared" si="1"/>
        <v>290.28321105499998</v>
      </c>
      <c r="O69" s="10"/>
      <c r="P69" s="10"/>
    </row>
    <row r="70" spans="1:18" s="119" customFormat="1" ht="12.75" hidden="1" x14ac:dyDescent="0.2">
      <c r="A70" s="13" t="s">
        <v>47</v>
      </c>
      <c r="B70" s="118">
        <f>IF($A70="","",'Situfin serie mensual'!JF67)</f>
        <v>35.547135930000003</v>
      </c>
      <c r="C70" s="118">
        <f>IF($A70="","",'Situfin serie mensual'!JG67)</f>
        <v>33.126630982999998</v>
      </c>
      <c r="D70" s="118">
        <f>IF($A70="","",'Situfin serie mensual'!JH67)</f>
        <v>199.57562939399998</v>
      </c>
      <c r="E70" s="118">
        <f>IF($A70="","",'Situfin serie mensual'!JI67)</f>
        <v>22.033814748000001</v>
      </c>
      <c r="F70" s="118">
        <f>IF($A70="","",'Situfin serie mensual'!JJ67)</f>
        <v>0</v>
      </c>
      <c r="G70" s="118">
        <f>IF($A70="","",'Situfin serie mensual'!JK67)</f>
        <v>0</v>
      </c>
      <c r="H70" s="118">
        <f>IF($A70="","",'Situfin serie mensual'!JL67)</f>
        <v>0</v>
      </c>
      <c r="I70" s="118">
        <f>IF($A70="","",'Situfin serie mensual'!JM67)</f>
        <v>0</v>
      </c>
      <c r="J70" s="118">
        <f>IF($A70="","",'Situfin serie mensual'!JN67)</f>
        <v>0</v>
      </c>
      <c r="K70" s="118">
        <f>IF($A70="","",'Situfin serie mensual'!JO67)</f>
        <v>0</v>
      </c>
      <c r="L70" s="118">
        <f>IF($A70="","",'Situfin serie mensual'!JP67)</f>
        <v>0</v>
      </c>
      <c r="M70" s="118">
        <f>IF($A70="","",'Situfin serie mensual'!JQ67)</f>
        <v>0</v>
      </c>
      <c r="N70" s="118">
        <f t="shared" si="1"/>
        <v>290.28321105499998</v>
      </c>
      <c r="O70" s="10"/>
      <c r="P70" s="10"/>
    </row>
    <row r="71" spans="1:18" s="119" customFormat="1" ht="12.75" hidden="1" x14ac:dyDescent="0.2">
      <c r="A71" s="13" t="s">
        <v>48</v>
      </c>
      <c r="B71" s="118">
        <f>IF($A71="","",'Situfin serie mensual'!JF68)</f>
        <v>0</v>
      </c>
      <c r="C71" s="118">
        <f>IF($A71="","",'Situfin serie mensual'!JG68)</f>
        <v>0</v>
      </c>
      <c r="D71" s="118">
        <f>IF($A71="","",'Situfin serie mensual'!JH68)</f>
        <v>0</v>
      </c>
      <c r="E71" s="118">
        <f>IF($A71="","",'Situfin serie mensual'!JI68)</f>
        <v>0</v>
      </c>
      <c r="F71" s="118">
        <f>IF($A71="","",'Situfin serie mensual'!JJ68)</f>
        <v>0</v>
      </c>
      <c r="G71" s="118">
        <f>IF($A71="","",'Situfin serie mensual'!JK68)</f>
        <v>0</v>
      </c>
      <c r="H71" s="118">
        <f>IF($A71="","",'Situfin serie mensual'!JL68)</f>
        <v>0</v>
      </c>
      <c r="I71" s="118">
        <f>IF($A71="","",'Situfin serie mensual'!JM68)</f>
        <v>0</v>
      </c>
      <c r="J71" s="118">
        <f>IF($A71="","",'Situfin serie mensual'!JN68)</f>
        <v>0</v>
      </c>
      <c r="K71" s="118">
        <f>IF($A71="","",'Situfin serie mensual'!JO68)</f>
        <v>0</v>
      </c>
      <c r="L71" s="118">
        <f>IF($A71="","",'Situfin serie mensual'!JP68)</f>
        <v>0</v>
      </c>
      <c r="M71" s="118">
        <f>IF($A71="","",'Situfin serie mensual'!JQ68)</f>
        <v>0</v>
      </c>
      <c r="N71" s="118">
        <f t="shared" si="1"/>
        <v>0</v>
      </c>
      <c r="O71" s="10"/>
      <c r="P71" s="10"/>
    </row>
    <row r="72" spans="1:18" s="119" customFormat="1" ht="12.75" hidden="1" x14ac:dyDescent="0.2">
      <c r="A72" s="13" t="s">
        <v>49</v>
      </c>
      <c r="B72" s="118">
        <f>IF($A72="","",'Situfin serie mensual'!JF69)</f>
        <v>0</v>
      </c>
      <c r="C72" s="118">
        <f>IF($A72="","",'Situfin serie mensual'!JG69)</f>
        <v>0</v>
      </c>
      <c r="D72" s="118">
        <f>IF($A72="","",'Situfin serie mensual'!JH69)</f>
        <v>0</v>
      </c>
      <c r="E72" s="118">
        <f>IF($A72="","",'Situfin serie mensual'!JI69)</f>
        <v>0</v>
      </c>
      <c r="F72" s="118">
        <f>IF($A72="","",'Situfin serie mensual'!JJ69)</f>
        <v>0</v>
      </c>
      <c r="G72" s="118">
        <f>IF($A72="","",'Situfin serie mensual'!JK69)</f>
        <v>0</v>
      </c>
      <c r="H72" s="118">
        <f>IF($A72="","",'Situfin serie mensual'!JL69)</f>
        <v>0</v>
      </c>
      <c r="I72" s="118">
        <f>IF($A72="","",'Situfin serie mensual'!JM69)</f>
        <v>0</v>
      </c>
      <c r="J72" s="118">
        <f>IF($A72="","",'Situfin serie mensual'!JN69)</f>
        <v>0</v>
      </c>
      <c r="K72" s="118">
        <f>IF($A72="","",'Situfin serie mensual'!JO69)</f>
        <v>0</v>
      </c>
      <c r="L72" s="118">
        <f>IF($A72="","",'Situfin serie mensual'!JP69)</f>
        <v>0</v>
      </c>
      <c r="M72" s="118">
        <f>IF($A72="","",'Situfin serie mensual'!JQ69)</f>
        <v>0</v>
      </c>
      <c r="N72" s="118">
        <f t="shared" si="1"/>
        <v>0</v>
      </c>
      <c r="O72" s="10"/>
      <c r="P72" s="10"/>
    </row>
    <row r="73" spans="1:18" s="119" customFormat="1" ht="12.75" x14ac:dyDescent="0.2">
      <c r="A73" s="13"/>
      <c r="B73" s="118" t="str">
        <f>IF($A73="","",'Situfin serie mensual'!JF70)</f>
        <v/>
      </c>
      <c r="C73" s="118" t="str">
        <f>IF($A73="","",'Situfin serie mensual'!JG70)</f>
        <v/>
      </c>
      <c r="D73" s="118" t="str">
        <f>IF($A73="","",'Situfin serie mensual'!JH70)</f>
        <v/>
      </c>
      <c r="E73" s="118" t="str">
        <f>IF($A73="","",'Situfin serie mensual'!JI70)</f>
        <v/>
      </c>
      <c r="F73" s="118" t="str">
        <f>IF($A73="","",'Situfin serie mensual'!JJ70)</f>
        <v/>
      </c>
      <c r="G73" s="118" t="str">
        <f>IF($A73="","",'Situfin serie mensual'!JK70)</f>
        <v/>
      </c>
      <c r="H73" s="118" t="str">
        <f>IF($A73="","",'Situfin serie mensual'!JL70)</f>
        <v/>
      </c>
      <c r="I73" s="118" t="str">
        <f>IF($A73="","",'Situfin serie mensual'!JM70)</f>
        <v/>
      </c>
      <c r="J73" s="118" t="str">
        <f>IF($A73="","",'Situfin serie mensual'!JN70)</f>
        <v/>
      </c>
      <c r="K73" s="118" t="str">
        <f>IF($A73="","",'Situfin serie mensual'!JO70)</f>
        <v/>
      </c>
      <c r="L73" s="118" t="str">
        <f>IF($A73="","",'Situfin serie mensual'!JP70)</f>
        <v/>
      </c>
      <c r="M73" s="118" t="str">
        <f>IF($A73="","",'Situfin serie mensual'!JQ70)</f>
        <v/>
      </c>
      <c r="N73" s="118"/>
      <c r="O73" s="10"/>
      <c r="P73" s="10"/>
    </row>
    <row r="74" spans="1:18" s="119" customFormat="1" ht="13.5" x14ac:dyDescent="0.25">
      <c r="A74" s="125" t="s">
        <v>50</v>
      </c>
      <c r="B74" s="126">
        <f>IF($A74="","",'Situfin serie mensual'!JF71)</f>
        <v>150.56811746199992</v>
      </c>
      <c r="C74" s="126">
        <f>IF($A74="","",'Situfin serie mensual'!JG71)</f>
        <v>-232.51884824999979</v>
      </c>
      <c r="D74" s="126">
        <f>IF($A74="","",'Situfin serie mensual'!JH71)</f>
        <v>-992.2092077289999</v>
      </c>
      <c r="E74" s="126">
        <f>IF($A74="","",'Situfin serie mensual'!JI71)</f>
        <v>1181.7615780929996</v>
      </c>
      <c r="F74" s="126">
        <f>IF($A74="","",'Situfin serie mensual'!JJ71)</f>
        <v>0</v>
      </c>
      <c r="G74" s="126">
        <f>IF($A74="","",'Situfin serie mensual'!JK71)</f>
        <v>0</v>
      </c>
      <c r="H74" s="126">
        <f>IF($A74="","",'Situfin serie mensual'!JL71)</f>
        <v>0</v>
      </c>
      <c r="I74" s="126">
        <f>IF($A74="","",'Situfin serie mensual'!JM71)</f>
        <v>0</v>
      </c>
      <c r="J74" s="126">
        <f>IF($A74="","",'Situfin serie mensual'!JN71)</f>
        <v>0</v>
      </c>
      <c r="K74" s="126">
        <f>IF($A74="","",'Situfin serie mensual'!JO71)</f>
        <v>0</v>
      </c>
      <c r="L74" s="126">
        <f>IF($A74="","",'Situfin serie mensual'!JP71)</f>
        <v>0</v>
      </c>
      <c r="M74" s="126">
        <f>IF($A74="","",'Situfin serie mensual'!JQ71)</f>
        <v>0</v>
      </c>
      <c r="N74" s="126">
        <f>+SUM(B74:M74)</f>
        <v>107.6016395759998</v>
      </c>
      <c r="O74" s="10"/>
      <c r="P74" s="10"/>
    </row>
    <row r="75" spans="1:18" s="119" customFormat="1" ht="12.75" x14ac:dyDescent="0.2">
      <c r="A75" s="113"/>
      <c r="B75" s="116" t="str">
        <f>IF($A75="","",'Situfin serie mensual'!JF72)</f>
        <v/>
      </c>
      <c r="C75" s="116" t="str">
        <f>IF($A75="","",'Situfin serie mensual'!JG72)</f>
        <v/>
      </c>
      <c r="D75" s="116" t="str">
        <f>IF($A75="","",'Situfin serie mensual'!JH72)</f>
        <v/>
      </c>
      <c r="E75" s="116" t="str">
        <f>IF($A75="","",'Situfin serie mensual'!JI72)</f>
        <v/>
      </c>
      <c r="F75" s="116" t="str">
        <f>IF($A75="","",'Situfin serie mensual'!JJ72)</f>
        <v/>
      </c>
      <c r="G75" s="116" t="str">
        <f>IF($A75="","",'Situfin serie mensual'!JK72)</f>
        <v/>
      </c>
      <c r="H75" s="116" t="str">
        <f>IF($A75="","",'Situfin serie mensual'!JL72)</f>
        <v/>
      </c>
      <c r="I75" s="116" t="str">
        <f>IF($A75="","",'Situfin serie mensual'!JM72)</f>
        <v/>
      </c>
      <c r="J75" s="116" t="str">
        <f>IF($A75="","",'Situfin serie mensual'!JN72)</f>
        <v/>
      </c>
      <c r="K75" s="116" t="str">
        <f>IF($A75="","",'Situfin serie mensual'!JO72)</f>
        <v/>
      </c>
      <c r="L75" s="116" t="str">
        <f>IF($A75="","",'Situfin serie mensual'!JP72)</f>
        <v/>
      </c>
      <c r="M75" s="116" t="str">
        <f>IF($A75="","",'Situfin serie mensual'!JQ72)</f>
        <v/>
      </c>
      <c r="N75" s="122"/>
      <c r="O75" s="10"/>
      <c r="P75" s="10"/>
    </row>
    <row r="76" spans="1:18" s="10" customFormat="1" ht="12.75" x14ac:dyDescent="0.2">
      <c r="A76" s="113"/>
      <c r="B76" s="122" t="str">
        <f>IF($A76="","",'Situfin serie mensual'!JF73)</f>
        <v/>
      </c>
      <c r="C76" s="122" t="str">
        <f>IF($A76="","",'Situfin serie mensual'!JG73)</f>
        <v/>
      </c>
      <c r="D76" s="122" t="str">
        <f>IF($A76="","",'Situfin serie mensual'!JH73)</f>
        <v/>
      </c>
      <c r="E76" s="122" t="str">
        <f>IF($A76="","",'Situfin serie mensual'!JI73)</f>
        <v/>
      </c>
      <c r="F76" s="122" t="str">
        <f>IF($A76="","",'Situfin serie mensual'!JJ73)</f>
        <v/>
      </c>
      <c r="G76" s="122" t="str">
        <f>IF($A76="","",'Situfin serie mensual'!JK73)</f>
        <v/>
      </c>
      <c r="H76" s="122" t="str">
        <f>IF($A76="","",'Situfin serie mensual'!JL73)</f>
        <v/>
      </c>
      <c r="I76" s="122" t="str">
        <f>IF($A76="","",'Situfin serie mensual'!JM73)</f>
        <v/>
      </c>
      <c r="J76" s="122" t="str">
        <f>IF($A76="","",'Situfin serie mensual'!JN73)</f>
        <v/>
      </c>
      <c r="K76" s="122" t="str">
        <f>IF($A76="","",'Situfin serie mensual'!JO73)</f>
        <v/>
      </c>
      <c r="L76" s="122" t="str">
        <f>IF($A76="","",'Situfin serie mensual'!JP73)</f>
        <v/>
      </c>
      <c r="M76" s="122" t="str">
        <f>IF($A76="","",'Situfin serie mensual'!JQ73)</f>
        <v/>
      </c>
      <c r="N76" s="122"/>
      <c r="Q76" s="148"/>
      <c r="R76" s="148"/>
    </row>
    <row r="77" spans="1:18" s="16" customFormat="1" ht="12.75" outlineLevel="2" x14ac:dyDescent="0.2">
      <c r="A77" s="10" t="s">
        <v>51</v>
      </c>
      <c r="B77" s="116">
        <f>IF($A77="","",'Situfin serie mensual'!JF74)</f>
        <v>380.00272154300001</v>
      </c>
      <c r="C77" s="116">
        <f>IF($A77="","",'Situfin serie mensual'!JG74)</f>
        <v>907.87870943500013</v>
      </c>
      <c r="D77" s="116">
        <f>IF($A77="","",'Situfin serie mensual'!JH74)</f>
        <v>466.08035353199995</v>
      </c>
      <c r="E77" s="116">
        <f>IF($A77="","",'Situfin serie mensual'!JI74)</f>
        <v>318.76106640099999</v>
      </c>
      <c r="F77" s="116">
        <f>IF($A77="","",'Situfin serie mensual'!JJ74)</f>
        <v>0</v>
      </c>
      <c r="G77" s="116">
        <f>IF($A77="","",'Situfin serie mensual'!JK74)</f>
        <v>0</v>
      </c>
      <c r="H77" s="116">
        <f>IF($A77="","",'Situfin serie mensual'!JL74)</f>
        <v>0</v>
      </c>
      <c r="I77" s="116">
        <f>IF($A77="","",'Situfin serie mensual'!JM74)</f>
        <v>0</v>
      </c>
      <c r="J77" s="116">
        <f>IF($A77="","",'Situfin serie mensual'!JN74)</f>
        <v>0</v>
      </c>
      <c r="K77" s="116">
        <f>IF($A77="","",'Situfin serie mensual'!JO74)</f>
        <v>0</v>
      </c>
      <c r="L77" s="116">
        <f>IF($A77="","",'Situfin serie mensual'!JP74)</f>
        <v>0</v>
      </c>
      <c r="M77" s="116">
        <f>IF($A77="","",'Situfin serie mensual'!JQ74)</f>
        <v>0</v>
      </c>
      <c r="N77" s="116">
        <f>+SUM(B77:M77)</f>
        <v>2072.722850911</v>
      </c>
      <c r="O77" s="10"/>
      <c r="P77" s="10"/>
    </row>
    <row r="78" spans="1:18" s="119" customFormat="1" ht="12.75" x14ac:dyDescent="0.2">
      <c r="A78" s="13" t="s">
        <v>52</v>
      </c>
      <c r="B78" s="118">
        <f>IF($A78="","",'Situfin serie mensual'!JF75)</f>
        <v>367.81199148299999</v>
      </c>
      <c r="C78" s="118">
        <f>IF($A78="","",'Situfin serie mensual'!JG75)</f>
        <v>904.49115439400009</v>
      </c>
      <c r="D78" s="118">
        <f>IF($A78="","",'Situfin serie mensual'!JH75)</f>
        <v>461.83569623499994</v>
      </c>
      <c r="E78" s="118">
        <f>IF($A78="","",'Situfin serie mensual'!JI75)</f>
        <v>314.11359140100001</v>
      </c>
      <c r="F78" s="118">
        <f>IF($A78="","",'Situfin serie mensual'!JJ75)</f>
        <v>0</v>
      </c>
      <c r="G78" s="118">
        <f>IF($A78="","",'Situfin serie mensual'!JK75)</f>
        <v>0</v>
      </c>
      <c r="H78" s="118">
        <f>IF($A78="","",'Situfin serie mensual'!JL75)</f>
        <v>0</v>
      </c>
      <c r="I78" s="118">
        <f>IF($A78="","",'Situfin serie mensual'!JM75)</f>
        <v>0</v>
      </c>
      <c r="J78" s="118">
        <f>IF($A78="","",'Situfin serie mensual'!JN75)</f>
        <v>0</v>
      </c>
      <c r="K78" s="118">
        <f>IF($A78="","",'Situfin serie mensual'!JO75)</f>
        <v>0</v>
      </c>
      <c r="L78" s="118">
        <f>IF($A78="","",'Situfin serie mensual'!JP75)</f>
        <v>0</v>
      </c>
      <c r="M78" s="118">
        <f>IF($A78="","",'Situfin serie mensual'!JQ75)</f>
        <v>0</v>
      </c>
      <c r="N78" s="118">
        <f>+SUM(B78:M78)</f>
        <v>2048.2524335130001</v>
      </c>
      <c r="O78" s="10"/>
      <c r="P78" s="10"/>
      <c r="Q78" s="149"/>
      <c r="R78" s="149"/>
    </row>
    <row r="79" spans="1:18" s="119" customFormat="1" ht="12.75" x14ac:dyDescent="0.2">
      <c r="A79" s="13" t="s">
        <v>53</v>
      </c>
      <c r="B79" s="118">
        <f>IF($A79="","",'Situfin serie mensual'!JF76)</f>
        <v>12.19073006</v>
      </c>
      <c r="C79" s="118">
        <f>IF($A79="","",'Situfin serie mensual'!JG76)</f>
        <v>3.3875550410000002</v>
      </c>
      <c r="D79" s="118">
        <f>IF($A79="","",'Situfin serie mensual'!JH76)</f>
        <v>4.2446572969999998</v>
      </c>
      <c r="E79" s="118">
        <f>IF($A79="","",'Situfin serie mensual'!JI76)</f>
        <v>4.647475</v>
      </c>
      <c r="F79" s="118">
        <f>IF($A79="","",'Situfin serie mensual'!JJ76)</f>
        <v>0</v>
      </c>
      <c r="G79" s="118">
        <f>IF($A79="","",'Situfin serie mensual'!JK76)</f>
        <v>0</v>
      </c>
      <c r="H79" s="118">
        <f>IF($A79="","",'Situfin serie mensual'!JL76)</f>
        <v>0</v>
      </c>
      <c r="I79" s="118">
        <f>IF($A79="","",'Situfin serie mensual'!JM76)</f>
        <v>0</v>
      </c>
      <c r="J79" s="118">
        <f>IF($A79="","",'Situfin serie mensual'!JN76)</f>
        <v>0</v>
      </c>
      <c r="K79" s="118">
        <f>IF($A79="","",'Situfin serie mensual'!JO76)</f>
        <v>0</v>
      </c>
      <c r="L79" s="118">
        <f>IF($A79="","",'Situfin serie mensual'!JP76)</f>
        <v>0</v>
      </c>
      <c r="M79" s="118">
        <f>IF($A79="","",'Situfin serie mensual'!JQ76)</f>
        <v>0</v>
      </c>
      <c r="N79" s="118">
        <f>+SUM(B79:M79)</f>
        <v>24.470417398000002</v>
      </c>
      <c r="O79" s="10"/>
      <c r="P79" s="10"/>
      <c r="Q79" s="130"/>
      <c r="R79" s="130"/>
    </row>
    <row r="80" spans="1:18" s="119" customFormat="1" ht="12.75" x14ac:dyDescent="0.2">
      <c r="A80" s="13" t="s">
        <v>155</v>
      </c>
      <c r="B80" s="118">
        <f>IF($A80="","",'Situfin serie mensual'!JF77)</f>
        <v>0</v>
      </c>
      <c r="C80" s="118">
        <f>IF($A80="","",'Situfin serie mensual'!JG77)</f>
        <v>0</v>
      </c>
      <c r="D80" s="118">
        <f>IF($A80="","",'Situfin serie mensual'!JH77)</f>
        <v>0</v>
      </c>
      <c r="E80" s="118">
        <f>IF($A80="","",'Situfin serie mensual'!JI77)</f>
        <v>0</v>
      </c>
      <c r="F80" s="118">
        <f>IF($A80="","",'Situfin serie mensual'!JJ77)</f>
        <v>0</v>
      </c>
      <c r="G80" s="118">
        <f>IF($A80="","",'Situfin serie mensual'!JK77)</f>
        <v>0</v>
      </c>
      <c r="H80" s="118">
        <f>IF($A80="","",'Situfin serie mensual'!JL77)</f>
        <v>0</v>
      </c>
      <c r="I80" s="118">
        <f>IF($A80="","",'Situfin serie mensual'!JM77)</f>
        <v>0</v>
      </c>
      <c r="J80" s="118">
        <f>IF($A80="","",'Situfin serie mensual'!JN77)</f>
        <v>0</v>
      </c>
      <c r="K80" s="118">
        <f>IF($A80="","",'Situfin serie mensual'!JO77)</f>
        <v>0</v>
      </c>
      <c r="L80" s="118">
        <f>IF($A80="","",'Situfin serie mensual'!JP77)</f>
        <v>0</v>
      </c>
      <c r="M80" s="118">
        <f>IF($A80="","",'Situfin serie mensual'!JQ77)</f>
        <v>0</v>
      </c>
      <c r="N80" s="118">
        <f>+SUM(B80:M80)</f>
        <v>0</v>
      </c>
      <c r="O80" s="10"/>
      <c r="P80" s="10"/>
      <c r="Q80" s="149"/>
      <c r="R80" s="149"/>
    </row>
    <row r="81" spans="1:17" s="119" customFormat="1" ht="13.5" x14ac:dyDescent="0.25">
      <c r="A81" s="150" t="s">
        <v>55</v>
      </c>
      <c r="B81" s="131">
        <f>IF($A81="","",'Situfin serie mensual'!JF78)</f>
        <v>-229.43460408100009</v>
      </c>
      <c r="C81" s="131">
        <f>IF($A81="","",'Situfin serie mensual'!JG78)</f>
        <v>-1140.3975576849998</v>
      </c>
      <c r="D81" s="131">
        <f>IF($A81="","",'Situfin serie mensual'!JH78)</f>
        <v>-1458.2895612609998</v>
      </c>
      <c r="E81" s="131">
        <f>IF($A81="","",'Situfin serie mensual'!JI78)</f>
        <v>863.00051169199958</v>
      </c>
      <c r="F81" s="131">
        <f>IF($A81="","",'Situfin serie mensual'!JJ78)</f>
        <v>0</v>
      </c>
      <c r="G81" s="131">
        <f>IF($A81="","",'Situfin serie mensual'!JK78)</f>
        <v>0</v>
      </c>
      <c r="H81" s="131">
        <f>IF($A81="","",'Situfin serie mensual'!JL78)</f>
        <v>0</v>
      </c>
      <c r="I81" s="131">
        <f>IF($A81="","",'Situfin serie mensual'!JM78)</f>
        <v>0</v>
      </c>
      <c r="J81" s="131">
        <f>IF($A81="","",'Situfin serie mensual'!JN78)</f>
        <v>0</v>
      </c>
      <c r="K81" s="131">
        <f>IF($A81="","",'Situfin serie mensual'!JO78)</f>
        <v>0</v>
      </c>
      <c r="L81" s="131">
        <f>IF($A81="","",'Situfin serie mensual'!JP78)</f>
        <v>0</v>
      </c>
      <c r="M81" s="131">
        <f>IF($A81="","",'Situfin serie mensual'!JQ78)</f>
        <v>0</v>
      </c>
      <c r="N81" s="131">
        <f>+SUM(B81:M81)</f>
        <v>-1965.1212113349998</v>
      </c>
      <c r="O81" s="151"/>
      <c r="P81" s="10"/>
      <c r="Q81" s="10"/>
    </row>
    <row r="82" spans="1:17" s="119" customFormat="1" ht="12.75" x14ac:dyDescent="0.2">
      <c r="A82" s="13"/>
      <c r="B82" s="118" t="str">
        <f>IF($A82="","",'Situfin serie mensual'!JF79)</f>
        <v/>
      </c>
      <c r="C82" s="118" t="str">
        <f>IF($A82="","",'Situfin serie mensual'!JG79)</f>
        <v/>
      </c>
      <c r="D82" s="118" t="str">
        <f>IF($A82="","",'Situfin serie mensual'!JH79)</f>
        <v/>
      </c>
      <c r="E82" s="118" t="str">
        <f>IF($A82="","",'Situfin serie mensual'!JI79)</f>
        <v/>
      </c>
      <c r="F82" s="118" t="str">
        <f>IF($A82="","",'Situfin serie mensual'!JJ79)</f>
        <v/>
      </c>
      <c r="G82" s="118" t="str">
        <f>IF($A82="","",'Situfin serie mensual'!JK79)</f>
        <v/>
      </c>
      <c r="H82" s="118" t="str">
        <f>IF($A82="","",'Situfin serie mensual'!JL79)</f>
        <v/>
      </c>
      <c r="I82" s="118" t="str">
        <f>IF($A82="","",'Situfin serie mensual'!JM79)</f>
        <v/>
      </c>
      <c r="J82" s="118" t="str">
        <f>IF($A82="","",'Situfin serie mensual'!JN79)</f>
        <v/>
      </c>
      <c r="K82" s="118" t="str">
        <f>IF($A82="","",'Situfin serie mensual'!JO79)</f>
        <v/>
      </c>
      <c r="L82" s="118" t="str">
        <f>IF($A82="","",'Situfin serie mensual'!JP79)</f>
        <v/>
      </c>
      <c r="M82" s="118" t="str">
        <f>IF($A82="","",'Situfin serie mensual'!JQ79)</f>
        <v/>
      </c>
      <c r="N82" s="118"/>
      <c r="O82" s="10"/>
      <c r="P82" s="10"/>
    </row>
    <row r="83" spans="1:17" s="119" customFormat="1" ht="12.75" x14ac:dyDescent="0.2">
      <c r="A83" s="152" t="s">
        <v>156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2"/>
      <c r="O83" s="10"/>
      <c r="P83" s="10"/>
    </row>
    <row r="84" spans="1:17" s="119" customFormat="1" ht="12.75" x14ac:dyDescent="0.2">
      <c r="A84" s="10"/>
      <c r="B84" s="118" t="str">
        <f>IF($A84="","",'Situfin serie mensual'!JF81)</f>
        <v/>
      </c>
      <c r="C84" s="118" t="str">
        <f>IF($A84="","",'Situfin serie mensual'!JG81)</f>
        <v/>
      </c>
      <c r="D84" s="118" t="str">
        <f>IF($A84="","",'Situfin serie mensual'!JH81)</f>
        <v/>
      </c>
      <c r="E84" s="118" t="str">
        <f>IF($A84="","",'Situfin serie mensual'!JI81)</f>
        <v/>
      </c>
      <c r="F84" s="118" t="str">
        <f>IF($A84="","",'Situfin serie mensual'!JJ81)</f>
        <v/>
      </c>
      <c r="G84" s="118" t="str">
        <f>IF($A84="","",'Situfin serie mensual'!JK81)</f>
        <v/>
      </c>
      <c r="H84" s="118" t="str">
        <f>IF($A84="","",'Situfin serie mensual'!JL81)</f>
        <v/>
      </c>
      <c r="I84" s="118" t="str">
        <f>IF($A84="","",'Situfin serie mensual'!JM81)</f>
        <v/>
      </c>
      <c r="J84" s="118" t="str">
        <f>IF($A84="","",'Situfin serie mensual'!JN81)</f>
        <v/>
      </c>
      <c r="K84" s="118" t="str">
        <f>IF($A84="","",'Situfin serie mensual'!JO81)</f>
        <v/>
      </c>
      <c r="L84" s="118" t="str">
        <f>IF($A84="","",'Situfin serie mensual'!JP81)</f>
        <v/>
      </c>
      <c r="M84" s="118" t="str">
        <f>IF($A84="","",'Situfin serie mensual'!JQ81)</f>
        <v/>
      </c>
      <c r="N84" s="116"/>
      <c r="O84" s="10"/>
      <c r="P84" s="10"/>
    </row>
    <row r="85" spans="1:17" s="16" customFormat="1" ht="12.75" outlineLevel="2" x14ac:dyDescent="0.2">
      <c r="A85" s="10" t="s">
        <v>56</v>
      </c>
      <c r="B85" s="116">
        <f>IF($A85="","",'Situfin serie mensual'!JF82)</f>
        <v>319.47266532185813</v>
      </c>
      <c r="C85" s="116">
        <f>IF($A85="","",'Situfin serie mensual'!JG82)</f>
        <v>1076.7600171756753</v>
      </c>
      <c r="D85" s="116">
        <f>IF($A85="","",'Situfin serie mensual'!JH82)</f>
        <v>4909.7027471927868</v>
      </c>
      <c r="E85" s="116">
        <f>IF($A85="","",'Situfin serie mensual'!JI82)</f>
        <v>130.90385980099998</v>
      </c>
      <c r="F85" s="116">
        <f>IF($A85="","",'Situfin serie mensual'!JJ82)</f>
        <v>0</v>
      </c>
      <c r="G85" s="116">
        <f>IF($A85="","",'Situfin serie mensual'!JK82)</f>
        <v>0</v>
      </c>
      <c r="H85" s="116">
        <f>IF($A85="","",'Situfin serie mensual'!JL82)</f>
        <v>0</v>
      </c>
      <c r="I85" s="116">
        <f>IF($A85="","",'Situfin serie mensual'!JM82)</f>
        <v>0</v>
      </c>
      <c r="J85" s="116">
        <f>IF($A85="","",'Situfin serie mensual'!JN82)</f>
        <v>0</v>
      </c>
      <c r="K85" s="116">
        <f>IF($A85="","",'Situfin serie mensual'!JO82)</f>
        <v>0</v>
      </c>
      <c r="L85" s="116">
        <f>IF($A85="","",'Situfin serie mensual'!JP82)</f>
        <v>0</v>
      </c>
      <c r="M85" s="116">
        <f>IF($A85="","",'Situfin serie mensual'!JQ82)</f>
        <v>0</v>
      </c>
      <c r="N85" s="116">
        <f>+SUM(B85:M85)</f>
        <v>6436.8392894913204</v>
      </c>
      <c r="O85" s="10"/>
      <c r="P85" s="10"/>
    </row>
    <row r="86" spans="1:17" s="119" customFormat="1" ht="12.75" x14ac:dyDescent="0.2">
      <c r="A86" s="13" t="s">
        <v>57</v>
      </c>
      <c r="B86" s="118">
        <f>IF($A86="","",'Situfin serie mensual'!JF83)</f>
        <v>319.47266532185813</v>
      </c>
      <c r="C86" s="118">
        <f>IF($A86="","",'Situfin serie mensual'!JG83)</f>
        <v>1076.7600171756753</v>
      </c>
      <c r="D86" s="118">
        <f>IF($A86="","",'Situfin serie mensual'!JH83)</f>
        <v>4909.7027471927868</v>
      </c>
      <c r="E86" s="118">
        <f>IF($A86="","",'Situfin serie mensual'!JI83)</f>
        <v>130.90385980099998</v>
      </c>
      <c r="F86" s="118">
        <f>IF($A86="","",'Situfin serie mensual'!JJ83)</f>
        <v>0</v>
      </c>
      <c r="G86" s="118">
        <f>IF($A86="","",'Situfin serie mensual'!JK83)</f>
        <v>0</v>
      </c>
      <c r="H86" s="118">
        <f>IF($A86="","",'Situfin serie mensual'!JL83)</f>
        <v>0</v>
      </c>
      <c r="I86" s="118">
        <f>IF($A86="","",'Situfin serie mensual'!JM83)</f>
        <v>0</v>
      </c>
      <c r="J86" s="118">
        <f>IF($A86="","",'Situfin serie mensual'!JN83)</f>
        <v>0</v>
      </c>
      <c r="K86" s="118">
        <f>IF($A86="","",'Situfin serie mensual'!JO83)</f>
        <v>0</v>
      </c>
      <c r="L86" s="118">
        <f>IF($A86="","",'Situfin serie mensual'!JP83)</f>
        <v>0</v>
      </c>
      <c r="M86" s="118">
        <f>IF($A86="","",'Situfin serie mensual'!JQ83)</f>
        <v>0</v>
      </c>
      <c r="N86" s="118">
        <f t="shared" ref="N86:N97" si="2">+SUM(B86:M86)</f>
        <v>6436.8392894913204</v>
      </c>
      <c r="O86" s="10"/>
      <c r="P86" s="10"/>
    </row>
    <row r="87" spans="1:17" s="119" customFormat="1" ht="12.75" x14ac:dyDescent="0.2">
      <c r="A87" s="13" t="s">
        <v>58</v>
      </c>
      <c r="B87" s="118">
        <f>IF($A87="","",'Situfin serie mensual'!JF84)</f>
        <v>0</v>
      </c>
      <c r="C87" s="118">
        <f>IF($A87="","",'Situfin serie mensual'!JG84)</f>
        <v>0</v>
      </c>
      <c r="D87" s="118">
        <f>IF($A87="","",'Situfin serie mensual'!JH84)</f>
        <v>0</v>
      </c>
      <c r="E87" s="118">
        <f>IF($A87="","",'Situfin serie mensual'!JI84)</f>
        <v>0</v>
      </c>
      <c r="F87" s="118">
        <f>IF($A87="","",'Situfin serie mensual'!JJ84)</f>
        <v>0</v>
      </c>
      <c r="G87" s="118">
        <f>IF($A87="","",'Situfin serie mensual'!JK84)</f>
        <v>0</v>
      </c>
      <c r="H87" s="118">
        <f>IF($A87="","",'Situfin serie mensual'!JL84)</f>
        <v>0</v>
      </c>
      <c r="I87" s="118">
        <f>IF($A87="","",'Situfin serie mensual'!JM84)</f>
        <v>0</v>
      </c>
      <c r="J87" s="118">
        <f>IF($A87="","",'Situfin serie mensual'!JN84)</f>
        <v>0</v>
      </c>
      <c r="K87" s="118">
        <f>IF($A87="","",'Situfin serie mensual'!JO84)</f>
        <v>0</v>
      </c>
      <c r="L87" s="118">
        <f>IF($A87="","",'Situfin serie mensual'!JP84)</f>
        <v>0</v>
      </c>
      <c r="M87" s="118">
        <f>IF($A87="","",'Situfin serie mensual'!JQ84)</f>
        <v>0</v>
      </c>
      <c r="N87" s="118">
        <f t="shared" si="2"/>
        <v>0</v>
      </c>
      <c r="O87" s="10"/>
      <c r="P87" s="10"/>
    </row>
    <row r="88" spans="1:17" s="16" customFormat="1" ht="12.75" outlineLevel="2" x14ac:dyDescent="0.2">
      <c r="A88" s="10" t="s">
        <v>59</v>
      </c>
      <c r="B88" s="116">
        <f>IF($A88="","",'Situfin serie mensual'!JF85)</f>
        <v>-296.85228073699989</v>
      </c>
      <c r="C88" s="116">
        <f>IF($A88="","",'Situfin serie mensual'!JG85)</f>
        <v>202.44650839999997</v>
      </c>
      <c r="D88" s="116">
        <f>IF($A88="","",'Situfin serie mensual'!JH85)</f>
        <v>6429.6553492149988</v>
      </c>
      <c r="E88" s="116">
        <f>IF($A88="","",'Situfin serie mensual'!JI85)</f>
        <v>-71.729901597000008</v>
      </c>
      <c r="F88" s="116">
        <f>IF($A88="","",'Situfin serie mensual'!JJ85)</f>
        <v>0</v>
      </c>
      <c r="G88" s="116">
        <f>IF($A88="","",'Situfin serie mensual'!JK85)</f>
        <v>0</v>
      </c>
      <c r="H88" s="116">
        <f>IF($A88="","",'Situfin serie mensual'!JL85)</f>
        <v>0</v>
      </c>
      <c r="I88" s="116">
        <f>IF($A88="","",'Situfin serie mensual'!JM85)</f>
        <v>0</v>
      </c>
      <c r="J88" s="116">
        <f>IF($A88="","",'Situfin serie mensual'!JN85)</f>
        <v>0</v>
      </c>
      <c r="K88" s="116">
        <f>IF($A88="","",'Situfin serie mensual'!JO85)</f>
        <v>0</v>
      </c>
      <c r="L88" s="116">
        <f>IF($A88="","",'Situfin serie mensual'!JP85)</f>
        <v>0</v>
      </c>
      <c r="M88" s="116">
        <f>IF($A88="","",'Situfin serie mensual'!JQ85)</f>
        <v>0</v>
      </c>
      <c r="N88" s="116">
        <f t="shared" si="2"/>
        <v>6263.5196752809989</v>
      </c>
      <c r="O88" s="10"/>
      <c r="P88" s="10"/>
    </row>
    <row r="89" spans="1:17" s="119" customFormat="1" ht="12.75" x14ac:dyDescent="0.2">
      <c r="A89" s="13" t="s">
        <v>57</v>
      </c>
      <c r="B89" s="118">
        <f>IF($A89="","",'Situfin serie mensual'!JF86)</f>
        <v>-365.95643868399986</v>
      </c>
      <c r="C89" s="118">
        <f>IF($A89="","",'Situfin serie mensual'!JG86)</f>
        <v>0.2873445299999986</v>
      </c>
      <c r="D89" s="118">
        <f>IF($A89="","",'Situfin serie mensual'!JH86)</f>
        <v>-73.79931639900002</v>
      </c>
      <c r="E89" s="118">
        <f>IF($A89="","",'Situfin serie mensual'!JI86)</f>
        <v>-89.333788709000004</v>
      </c>
      <c r="F89" s="118">
        <f>IF($A89="","",'Situfin serie mensual'!JJ86)</f>
        <v>0</v>
      </c>
      <c r="G89" s="118">
        <f>IF($A89="","",'Situfin serie mensual'!JK86)</f>
        <v>0</v>
      </c>
      <c r="H89" s="118">
        <f>IF($A89="","",'Situfin serie mensual'!JL86)</f>
        <v>0</v>
      </c>
      <c r="I89" s="118">
        <f>IF($A89="","",'Situfin serie mensual'!JM86)</f>
        <v>0</v>
      </c>
      <c r="J89" s="118">
        <f>IF($A89="","",'Situfin serie mensual'!JN86)</f>
        <v>0</v>
      </c>
      <c r="K89" s="118">
        <f>IF($A89="","",'Situfin serie mensual'!JO86)</f>
        <v>0</v>
      </c>
      <c r="L89" s="118">
        <f>IF($A89="","",'Situfin serie mensual'!JP86)</f>
        <v>0</v>
      </c>
      <c r="M89" s="118">
        <f>IF($A89="","",'Situfin serie mensual'!JQ86)</f>
        <v>0</v>
      </c>
      <c r="N89" s="118">
        <f t="shared" si="2"/>
        <v>-528.80219926199993</v>
      </c>
      <c r="O89" s="10"/>
      <c r="P89" s="10"/>
    </row>
    <row r="90" spans="1:17" s="119" customFormat="1" ht="12.75" x14ac:dyDescent="0.2">
      <c r="A90" s="13" t="s">
        <v>58</v>
      </c>
      <c r="B90" s="118">
        <f>IF($A90="","",'Situfin serie mensual'!JF87)</f>
        <v>69.104157947000004</v>
      </c>
      <c r="C90" s="118">
        <f>IF($A90="","",'Situfin serie mensual'!JG87)</f>
        <v>202.15916386999999</v>
      </c>
      <c r="D90" s="118">
        <f>IF($A90="","",'Situfin serie mensual'!JH87)</f>
        <v>6503.4546656139992</v>
      </c>
      <c r="E90" s="118">
        <f>IF($A90="","",'Situfin serie mensual'!JI87)</f>
        <v>17.603887111999995</v>
      </c>
      <c r="F90" s="118">
        <f>IF($A90="","",'Situfin serie mensual'!JJ87)</f>
        <v>0</v>
      </c>
      <c r="G90" s="118">
        <f>IF($A90="","",'Situfin serie mensual'!JK87)</f>
        <v>0</v>
      </c>
      <c r="H90" s="118">
        <f>IF($A90="","",'Situfin serie mensual'!JL87)</f>
        <v>0</v>
      </c>
      <c r="I90" s="118">
        <f>IF($A90="","",'Situfin serie mensual'!JM87)</f>
        <v>0</v>
      </c>
      <c r="J90" s="118">
        <f>IF($A90="","",'Situfin serie mensual'!JN87)</f>
        <v>0</v>
      </c>
      <c r="K90" s="118">
        <f>IF($A90="","",'Situfin serie mensual'!JO87)</f>
        <v>0</v>
      </c>
      <c r="L90" s="118">
        <f>IF($A90="","",'Situfin serie mensual'!JP87)</f>
        <v>0</v>
      </c>
      <c r="M90" s="118">
        <f>IF($A90="","",'Situfin serie mensual'!JQ87)</f>
        <v>0</v>
      </c>
      <c r="N90" s="118">
        <f t="shared" si="2"/>
        <v>6792.3218745429995</v>
      </c>
      <c r="O90" s="10"/>
      <c r="P90" s="10"/>
    </row>
    <row r="91" spans="1:17" s="119" customFormat="1" ht="12.75" x14ac:dyDescent="0.2">
      <c r="A91" s="13"/>
      <c r="B91" s="118" t="str">
        <f>IF($A91="","",'Situfin serie mensual'!JF88)</f>
        <v/>
      </c>
      <c r="C91" s="118" t="str">
        <f>IF($A91="","",'Situfin serie mensual'!JG88)</f>
        <v/>
      </c>
      <c r="D91" s="118" t="str">
        <f>IF($A91="","",'Situfin serie mensual'!JH88)</f>
        <v/>
      </c>
      <c r="E91" s="118" t="str">
        <f>IF($A91="","",'Situfin serie mensual'!JI88)</f>
        <v/>
      </c>
      <c r="F91" s="118" t="str">
        <f>IF($A91="","",'Situfin serie mensual'!JJ88)</f>
        <v/>
      </c>
      <c r="G91" s="118" t="str">
        <f>IF($A91="","",'Situfin serie mensual'!JK88)</f>
        <v/>
      </c>
      <c r="H91" s="118" t="str">
        <f>IF($A91="","",'Situfin serie mensual'!JL88)</f>
        <v/>
      </c>
      <c r="I91" s="118" t="str">
        <f>IF($A91="","",'Situfin serie mensual'!JM88)</f>
        <v/>
      </c>
      <c r="J91" s="118" t="str">
        <f>IF($A91="","",'Situfin serie mensual'!JN88)</f>
        <v/>
      </c>
      <c r="K91" s="118" t="str">
        <f>IF($A91="","",'Situfin serie mensual'!JO88)</f>
        <v/>
      </c>
      <c r="L91" s="118" t="str">
        <f>IF($A91="","",'Situfin serie mensual'!JP88)</f>
        <v/>
      </c>
      <c r="M91" s="118" t="str">
        <f>IF($A91="","",'Situfin serie mensual'!JQ88)</f>
        <v/>
      </c>
      <c r="N91" s="118"/>
      <c r="O91" s="10"/>
      <c r="P91" s="10"/>
    </row>
    <row r="92" spans="1:17" s="10" customFormat="1" ht="12.75" x14ac:dyDescent="0.2">
      <c r="A92" s="10" t="s">
        <v>60</v>
      </c>
      <c r="B92" s="116">
        <f>IF($A92="","",'Situfin serie mensual'!JF89)</f>
        <v>-365.94550166499994</v>
      </c>
      <c r="C92" s="116">
        <f>IF($A92="","",'Situfin serie mensual'!JG89)</f>
        <v>18.373872838</v>
      </c>
      <c r="D92" s="116">
        <f>IF($A92="","",'Situfin serie mensual'!JH89)</f>
        <v>-335.75195729300003</v>
      </c>
      <c r="E92" s="116">
        <f>IF($A92="","",'Situfin serie mensual'!JI89)</f>
        <v>-88.840918743000003</v>
      </c>
      <c r="F92" s="116">
        <f>IF($A92="","",'Situfin serie mensual'!JJ89)</f>
        <v>0</v>
      </c>
      <c r="G92" s="116">
        <f>IF($A92="","",'Situfin serie mensual'!JK89)</f>
        <v>0</v>
      </c>
      <c r="H92" s="116">
        <f>IF($A92="","",'Situfin serie mensual'!JL89)</f>
        <v>0</v>
      </c>
      <c r="I92" s="116">
        <f>IF($A92="","",'Situfin serie mensual'!JM89)</f>
        <v>0</v>
      </c>
      <c r="J92" s="116">
        <f>IF($A92="","",'Situfin serie mensual'!JN89)</f>
        <v>0</v>
      </c>
      <c r="K92" s="116">
        <f>IF($A92="","",'Situfin serie mensual'!JO89)</f>
        <v>0</v>
      </c>
      <c r="L92" s="116">
        <f>IF($A92="","",'Situfin serie mensual'!JP89)</f>
        <v>0</v>
      </c>
      <c r="M92" s="116">
        <f>IF($A92="","",'Situfin serie mensual'!JQ89)</f>
        <v>0</v>
      </c>
      <c r="N92" s="116">
        <f t="shared" si="2"/>
        <v>-772.16450486299993</v>
      </c>
    </row>
    <row r="93" spans="1:17" s="134" customFormat="1" ht="12.75" x14ac:dyDescent="0.2">
      <c r="A93" s="13" t="s">
        <v>61</v>
      </c>
      <c r="B93" s="133">
        <f>IF($A93="","",'Situfin serie mensual'!JF90)</f>
        <v>2011.6866264929999</v>
      </c>
      <c r="C93" s="133">
        <f>IF($A93="","",'Situfin serie mensual'!JG90)</f>
        <v>18.373872838</v>
      </c>
      <c r="D93" s="133">
        <f>IF($A93="","",'Situfin serie mensual'!JH90)</f>
        <v>-335.75195729300003</v>
      </c>
      <c r="E93" s="133">
        <f>IF($A93="","",'Situfin serie mensual'!JI90)</f>
        <v>-88.840918743000003</v>
      </c>
      <c r="F93" s="133">
        <f>IF($A93="","",'Situfin serie mensual'!JJ90)</f>
        <v>0</v>
      </c>
      <c r="G93" s="133">
        <f>IF($A93="","",'Situfin serie mensual'!JK90)</f>
        <v>0</v>
      </c>
      <c r="H93" s="133">
        <f>IF($A93="","",'Situfin serie mensual'!JL90)</f>
        <v>0</v>
      </c>
      <c r="I93" s="133">
        <f>IF($A93="","",'Situfin serie mensual'!JM90)</f>
        <v>0</v>
      </c>
      <c r="J93" s="133">
        <f>IF($A93="","",'Situfin serie mensual'!JN90)</f>
        <v>0</v>
      </c>
      <c r="K93" s="133">
        <f>IF($A93="","",'Situfin serie mensual'!JO90)</f>
        <v>0</v>
      </c>
      <c r="L93" s="133">
        <f>IF($A93="","",'Situfin serie mensual'!JP90)</f>
        <v>0</v>
      </c>
      <c r="M93" s="133">
        <f>IF($A93="","",'Situfin serie mensual'!JQ90)</f>
        <v>0</v>
      </c>
      <c r="N93" s="118">
        <f t="shared" si="2"/>
        <v>1605.4676232949998</v>
      </c>
      <c r="O93" s="10"/>
      <c r="P93" s="10"/>
    </row>
    <row r="94" spans="1:17" s="134" customFormat="1" ht="12.75" x14ac:dyDescent="0.2">
      <c r="A94" s="13" t="s">
        <v>62</v>
      </c>
      <c r="B94" s="133">
        <f>IF($A94="","",'Situfin serie mensual'!JF91)</f>
        <v>2377.6321281579999</v>
      </c>
      <c r="C94" s="133">
        <f>IF($A94="","",'Situfin serie mensual'!JG91)</f>
        <v>0</v>
      </c>
      <c r="D94" s="133">
        <f>IF($A94="","",'Situfin serie mensual'!JH91)</f>
        <v>0</v>
      </c>
      <c r="E94" s="133">
        <f>IF($A94="","",'Situfin serie mensual'!JI91)</f>
        <v>0</v>
      </c>
      <c r="F94" s="133">
        <f>IF($A94="","",'Situfin serie mensual'!JJ91)</f>
        <v>0</v>
      </c>
      <c r="G94" s="133">
        <f>IF($A94="","",'Situfin serie mensual'!JK91)</f>
        <v>0</v>
      </c>
      <c r="H94" s="133">
        <f>IF($A94="","",'Situfin serie mensual'!JL91)</f>
        <v>0</v>
      </c>
      <c r="I94" s="133">
        <f>IF($A94="","",'Situfin serie mensual'!JM91)</f>
        <v>0</v>
      </c>
      <c r="J94" s="133">
        <f>IF($A94="","",'Situfin serie mensual'!JN91)</f>
        <v>0</v>
      </c>
      <c r="K94" s="133">
        <f>IF($A94="","",'Situfin serie mensual'!JO91)</f>
        <v>0</v>
      </c>
      <c r="L94" s="133">
        <f>IF($A94="","",'Situfin serie mensual'!JP91)</f>
        <v>0</v>
      </c>
      <c r="M94" s="133">
        <f>IF($A94="","",'Situfin serie mensual'!JQ91)</f>
        <v>0</v>
      </c>
      <c r="N94" s="118">
        <f t="shared" si="2"/>
        <v>2377.6321281579999</v>
      </c>
      <c r="O94" s="10"/>
      <c r="P94" s="10"/>
    </row>
    <row r="95" spans="1:17" s="134" customFormat="1" ht="12.75" x14ac:dyDescent="0.2">
      <c r="B95" s="133" t="str">
        <f>IF($A95="","",'Situfin serie mensual'!JF92)</f>
        <v/>
      </c>
      <c r="C95" s="133" t="str">
        <f>IF($A95="","",'Situfin serie mensual'!JG92)</f>
        <v/>
      </c>
      <c r="D95" s="133" t="str">
        <f>IF($A95="","",'Situfin serie mensual'!JH92)</f>
        <v/>
      </c>
      <c r="E95" s="133" t="str">
        <f>IF($A95="","",'Situfin serie mensual'!JI92)</f>
        <v/>
      </c>
      <c r="F95" s="133" t="str">
        <f>IF($A95="","",'Situfin serie mensual'!JJ92)</f>
        <v/>
      </c>
      <c r="G95" s="133" t="str">
        <f>IF($A95="","",'Situfin serie mensual'!JK92)</f>
        <v/>
      </c>
      <c r="H95" s="133" t="str">
        <f>IF($A95="","",'Situfin serie mensual'!JL92)</f>
        <v/>
      </c>
      <c r="I95" s="133" t="str">
        <f>IF($A95="","",'Situfin serie mensual'!JM92)</f>
        <v/>
      </c>
      <c r="J95" s="133" t="str">
        <f>IF($A95="","",'Situfin serie mensual'!JN92)</f>
        <v/>
      </c>
      <c r="K95" s="133" t="str">
        <f>IF($A95="","",'Situfin serie mensual'!JO92)</f>
        <v/>
      </c>
      <c r="L95" s="133" t="str">
        <f>IF($A95="","",'Situfin serie mensual'!JP92)</f>
        <v/>
      </c>
      <c r="M95" s="133" t="str">
        <f>IF($A95="","",'Situfin serie mensual'!JQ92)</f>
        <v/>
      </c>
      <c r="N95" s="153"/>
      <c r="O95" s="10"/>
      <c r="P95" s="10"/>
    </row>
    <row r="96" spans="1:17" s="134" customFormat="1" ht="12.75" x14ac:dyDescent="0.2">
      <c r="A96" s="10" t="s">
        <v>63</v>
      </c>
      <c r="B96" s="135">
        <f>IF($A96="","",'Situfin serie mensual'!JF93)</f>
        <v>320.34710671085816</v>
      </c>
      <c r="C96" s="135">
        <f>IF($A96="","",'Situfin serie mensual'!JG93)</f>
        <v>1077.6708439166753</v>
      </c>
      <c r="D96" s="135">
        <f>IF($A96="","",'Situfin serie mensual'!JH93)</f>
        <v>4621.5261457257866</v>
      </c>
      <c r="E96" s="135">
        <f>IF($A96="","",'Situfin serie mensual'!JI93)</f>
        <v>0</v>
      </c>
      <c r="F96" s="135">
        <f>IF($A96="","",'Situfin serie mensual'!JJ93)</f>
        <v>0</v>
      </c>
      <c r="G96" s="135">
        <f>IF($A96="","",'Situfin serie mensual'!JK93)</f>
        <v>0</v>
      </c>
      <c r="H96" s="135">
        <f>IF($A96="","",'Situfin serie mensual'!JL93)</f>
        <v>0</v>
      </c>
      <c r="I96" s="135">
        <f>IF($A96="","",'Situfin serie mensual'!JM93)</f>
        <v>0</v>
      </c>
      <c r="J96" s="135">
        <f>IF($A96="","",'Situfin serie mensual'!JN93)</f>
        <v>0</v>
      </c>
      <c r="K96" s="135">
        <f>IF($A96="","",'Situfin serie mensual'!JO93)</f>
        <v>0</v>
      </c>
      <c r="L96" s="135">
        <f>IF($A96="","",'Situfin serie mensual'!JP93)</f>
        <v>0</v>
      </c>
      <c r="M96" s="135">
        <f>IF($A96="","",'Situfin serie mensual'!JQ93)</f>
        <v>0</v>
      </c>
      <c r="N96" s="116">
        <f t="shared" si="2"/>
        <v>6019.5440963533201</v>
      </c>
      <c r="O96" s="10"/>
      <c r="P96" s="10"/>
    </row>
    <row r="97" spans="1:16" s="134" customFormat="1" ht="12.75" x14ac:dyDescent="0.2">
      <c r="A97" s="13" t="s">
        <v>64</v>
      </c>
      <c r="B97" s="133">
        <f>IF($A97="","",'Situfin serie mensual'!JF94)</f>
        <v>320.34710671085816</v>
      </c>
      <c r="C97" s="133">
        <f>IF($A97="","",'Situfin serie mensual'!JG94)</f>
        <v>1077.6708439166753</v>
      </c>
      <c r="D97" s="133">
        <f>IF($A97="","",'Situfin serie mensual'!JH94)</f>
        <v>4621.5261457257866</v>
      </c>
      <c r="E97" s="133">
        <f>IF($A97="","",'Situfin serie mensual'!JI94)</f>
        <v>0</v>
      </c>
      <c r="F97" s="133">
        <f>IF($A97="","",'Situfin serie mensual'!JJ94)</f>
        <v>0</v>
      </c>
      <c r="G97" s="133">
        <f>IF($A97="","",'Situfin serie mensual'!JK94)</f>
        <v>0</v>
      </c>
      <c r="H97" s="133">
        <f>IF($A97="","",'Situfin serie mensual'!JL94)</f>
        <v>0</v>
      </c>
      <c r="I97" s="133">
        <f>IF($A97="","",'Situfin serie mensual'!JM94)</f>
        <v>0</v>
      </c>
      <c r="J97" s="133">
        <f>IF($A97="","",'Situfin serie mensual'!JN94)</f>
        <v>0</v>
      </c>
      <c r="K97" s="133">
        <f>IF($A97="","",'Situfin serie mensual'!JO94)</f>
        <v>0</v>
      </c>
      <c r="L97" s="133">
        <f>IF($A97="","",'Situfin serie mensual'!JP94)</f>
        <v>0</v>
      </c>
      <c r="M97" s="133">
        <f>IF($A97="","",'Situfin serie mensual'!JQ94)</f>
        <v>0</v>
      </c>
      <c r="N97" s="118">
        <f t="shared" si="2"/>
        <v>6019.5440963533201</v>
      </c>
      <c r="O97" s="10"/>
      <c r="P97" s="10"/>
    </row>
    <row r="98" spans="1:16" s="134" customFormat="1" ht="12.75" x14ac:dyDescent="0.2">
      <c r="A98" s="119"/>
      <c r="B98" s="133" t="str">
        <f>IF($A98="","",'Situfin serie mensual'!JF95)</f>
        <v/>
      </c>
      <c r="C98" s="133" t="str">
        <f>IF($A98="","",'Situfin serie mensual'!JG95)</f>
        <v/>
      </c>
      <c r="D98" s="133" t="str">
        <f>IF($A98="","",'Situfin serie mensual'!JH95)</f>
        <v/>
      </c>
      <c r="E98" s="133" t="str">
        <f>IF($A98="","",'Situfin serie mensual'!JI95)</f>
        <v/>
      </c>
      <c r="F98" s="133" t="str">
        <f>IF($A98="","",'Situfin serie mensual'!JJ95)</f>
        <v/>
      </c>
      <c r="G98" s="133" t="str">
        <f>IF($A98="","",'Situfin serie mensual'!JK95)</f>
        <v/>
      </c>
      <c r="H98" s="133" t="str">
        <f>IF($A98="","",'Situfin serie mensual'!JL95)</f>
        <v/>
      </c>
      <c r="I98" s="133" t="str">
        <f>IF($A98="","",'Situfin serie mensual'!JM95)</f>
        <v/>
      </c>
      <c r="J98" s="133" t="str">
        <f>IF($A98="","",'Situfin serie mensual'!JN95)</f>
        <v/>
      </c>
      <c r="K98" s="133" t="str">
        <f>IF($A98="","",'Situfin serie mensual'!JO95)</f>
        <v/>
      </c>
      <c r="L98" s="133" t="str">
        <f>IF($A98="","",'Situfin serie mensual'!JP95)</f>
        <v/>
      </c>
      <c r="M98" s="133" t="str">
        <f>IF($A98="","",'Situfin serie mensual'!JQ95)</f>
        <v/>
      </c>
      <c r="N98" s="153"/>
      <c r="O98" s="10"/>
      <c r="P98" s="10"/>
    </row>
    <row r="99" spans="1:16" s="134" customFormat="1" ht="12.75" hidden="1" x14ac:dyDescent="0.2">
      <c r="A99" s="10" t="s">
        <v>157</v>
      </c>
      <c r="B99" s="135">
        <f>IF($A99="","",'Situfin serie mensual'!JF96)</f>
        <v>-845.75955013985811</v>
      </c>
      <c r="C99" s="135">
        <f>IF($A99="","",'Situfin serie mensual'!JG96)</f>
        <v>-2014.7110664606753</v>
      </c>
      <c r="D99" s="135">
        <f>IF($A99="","",'Situfin serie mensual'!JH96)</f>
        <v>61.66304076121196</v>
      </c>
      <c r="E99" s="135">
        <f>IF($A99="","",'Situfin serie mensual'!JI96)</f>
        <v>660.36675029399964</v>
      </c>
      <c r="F99" s="135">
        <f>IF($A99="","",'Situfin serie mensual'!JJ96)</f>
        <v>0</v>
      </c>
      <c r="G99" s="135">
        <f>IF($A99="","",'Situfin serie mensual'!JK96)</f>
        <v>0</v>
      </c>
      <c r="H99" s="135">
        <f>IF($A99="","",'Situfin serie mensual'!JL96)</f>
        <v>0</v>
      </c>
      <c r="I99" s="135">
        <f>IF($A99="","",'Situfin serie mensual'!JM96)</f>
        <v>0</v>
      </c>
      <c r="J99" s="135">
        <f>IF($A99="","",'Situfin serie mensual'!JN96)</f>
        <v>0</v>
      </c>
      <c r="K99" s="135">
        <f>IF($A99="","",'Situfin serie mensual'!JO96)</f>
        <v>0</v>
      </c>
      <c r="L99" s="135">
        <f>IF($A99="","",'Situfin serie mensual'!JP96)</f>
        <v>0</v>
      </c>
      <c r="M99" s="135">
        <f>IF($A99="","",'Situfin serie mensual'!JQ96)</f>
        <v>0</v>
      </c>
      <c r="N99" s="116">
        <f>+SUM(B99:M99)</f>
        <v>-2138.4408255453218</v>
      </c>
      <c r="O99" s="10"/>
      <c r="P99" s="10"/>
    </row>
    <row r="100" spans="1:16" x14ac:dyDescent="0.2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6" x14ac:dyDescent="0.2">
      <c r="A101" s="207" t="s">
        <v>194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02"/>
      <c r="P101" s="202"/>
    </row>
    <row r="102" spans="1:16" x14ac:dyDescent="0.2">
      <c r="A102" s="202" t="s">
        <v>195</v>
      </c>
      <c r="B102" s="204">
        <f>B37-B51-B54-B57-B69-B44</f>
        <v>3271.8173338910005</v>
      </c>
      <c r="C102" s="204">
        <f t="shared" ref="C102:M102" si="3">C37-C51-C54-C57-C69-C44</f>
        <v>3567.1299206220001</v>
      </c>
      <c r="D102" s="204">
        <f t="shared" si="3"/>
        <v>3658.3800428579993</v>
      </c>
      <c r="E102" s="204">
        <f t="shared" si="3"/>
        <v>3409.5345246110001</v>
      </c>
      <c r="F102" s="204">
        <f t="shared" si="3"/>
        <v>0</v>
      </c>
      <c r="G102" s="204">
        <f t="shared" si="3"/>
        <v>0</v>
      </c>
      <c r="H102" s="204">
        <f t="shared" si="3"/>
        <v>0</v>
      </c>
      <c r="I102" s="204">
        <f t="shared" si="3"/>
        <v>0</v>
      </c>
      <c r="J102" s="204">
        <f t="shared" si="3"/>
        <v>0</v>
      </c>
      <c r="K102" s="204">
        <f t="shared" si="3"/>
        <v>0</v>
      </c>
      <c r="L102" s="204">
        <f t="shared" si="3"/>
        <v>0</v>
      </c>
      <c r="M102" s="204">
        <f t="shared" si="3"/>
        <v>0</v>
      </c>
      <c r="N102" s="118">
        <f t="shared" ref="N102:N103" si="4">+SUM(B102:M102)</f>
        <v>13906.861821982002</v>
      </c>
      <c r="O102" s="202"/>
      <c r="P102" s="202"/>
    </row>
    <row r="103" spans="1:16" x14ac:dyDescent="0.2">
      <c r="A103" s="202" t="s">
        <v>93</v>
      </c>
      <c r="B103" s="204">
        <f>B81+B44</f>
        <v>326.74908284899993</v>
      </c>
      <c r="C103" s="204">
        <f t="shared" ref="C103:M103" si="5">C81+C44</f>
        <v>-773.5563421239998</v>
      </c>
      <c r="D103" s="204">
        <f t="shared" si="5"/>
        <v>-512.79552127299974</v>
      </c>
      <c r="E103" s="204">
        <f t="shared" si="5"/>
        <v>1311.6155603299997</v>
      </c>
      <c r="F103" s="204">
        <f t="shared" si="5"/>
        <v>0</v>
      </c>
      <c r="G103" s="204">
        <f t="shared" si="5"/>
        <v>0</v>
      </c>
      <c r="H103" s="204">
        <f t="shared" si="5"/>
        <v>0</v>
      </c>
      <c r="I103" s="204">
        <f t="shared" si="5"/>
        <v>0</v>
      </c>
      <c r="J103" s="204">
        <f t="shared" si="5"/>
        <v>0</v>
      </c>
      <c r="K103" s="204">
        <f t="shared" si="5"/>
        <v>0</v>
      </c>
      <c r="L103" s="204">
        <f t="shared" si="5"/>
        <v>0</v>
      </c>
      <c r="M103" s="204">
        <f t="shared" si="5"/>
        <v>0</v>
      </c>
      <c r="N103" s="118">
        <f t="shared" si="4"/>
        <v>352.01277978200005</v>
      </c>
      <c r="O103" s="202"/>
      <c r="P103" s="202"/>
    </row>
    <row r="104" spans="1:16" ht="9" customHeight="1" x14ac:dyDescent="0.2">
      <c r="A104" s="209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3"/>
      <c r="O104" s="202"/>
      <c r="P104" s="202"/>
    </row>
    <row r="105" spans="1:16" ht="16.5" x14ac:dyDescent="0.3">
      <c r="A105" s="174" t="s">
        <v>191</v>
      </c>
      <c r="B105" s="202"/>
      <c r="C105" s="202"/>
      <c r="D105" s="202"/>
      <c r="E105" s="202"/>
      <c r="F105" s="154"/>
      <c r="G105" s="202"/>
      <c r="H105" s="202"/>
      <c r="I105" s="205"/>
      <c r="J105" s="202"/>
      <c r="K105" s="202"/>
      <c r="L105" s="202"/>
      <c r="M105" s="202"/>
      <c r="N105" s="202"/>
      <c r="O105" s="202"/>
      <c r="P105" s="202"/>
    </row>
    <row r="106" spans="1:16" ht="15" x14ac:dyDescent="0.25">
      <c r="A106" s="139" t="s">
        <v>174</v>
      </c>
      <c r="F106" s="154"/>
    </row>
    <row r="107" spans="1:16" x14ac:dyDescent="0.2">
      <c r="F107" s="154"/>
    </row>
    <row r="108" spans="1:16" hidden="1" x14ac:dyDescent="0.2">
      <c r="F108" s="154"/>
    </row>
  </sheetData>
  <mergeCells count="18">
    <mergeCell ref="K10:K11"/>
    <mergeCell ref="L10:L11"/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  <mergeCell ref="G10:G11"/>
    <mergeCell ref="H10:H11"/>
    <mergeCell ref="I10:I11"/>
    <mergeCell ref="J10:J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9"/>
  <sheetViews>
    <sheetView showGridLines="0" workbookViewId="0">
      <selection activeCell="X16" sqref="X16"/>
    </sheetView>
  </sheetViews>
  <sheetFormatPr baseColWidth="10" defaultColWidth="11.5703125" defaultRowHeight="15" x14ac:dyDescent="0.25"/>
  <cols>
    <col min="1" max="1" width="17.5703125" bestFit="1" customWidth="1"/>
    <col min="2" max="2" width="20.42578125" bestFit="1" customWidth="1"/>
    <col min="3" max="3" width="19" bestFit="1" customWidth="1"/>
    <col min="4" max="4" width="22.7109375" bestFit="1" customWidth="1"/>
    <col min="5" max="5" width="11.7109375" bestFit="1" customWidth="1"/>
    <col min="6" max="6" width="14.140625" bestFit="1" customWidth="1"/>
    <col min="7" max="8" width="20.42578125" bestFit="1" customWidth="1"/>
    <col min="9" max="9" width="32" bestFit="1" customWidth="1"/>
    <col min="10" max="10" width="42.42578125" bestFit="1" customWidth="1"/>
    <col min="11" max="11" width="12.5703125" bestFit="1" customWidth="1"/>
    <col min="12" max="12" width="6.5703125" bestFit="1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4.5703125" bestFit="1" customWidth="1"/>
    <col min="21" max="21" width="15.5703125" bestFit="1" customWidth="1"/>
    <col min="22" max="22" width="10.140625" customWidth="1"/>
  </cols>
  <sheetData>
    <row r="1" spans="1:22" x14ac:dyDescent="0.25">
      <c r="A1" s="67" t="s">
        <v>67</v>
      </c>
      <c r="B1" t="s">
        <v>212</v>
      </c>
      <c r="H1" s="67" t="s">
        <v>67</v>
      </c>
      <c r="I1" t="s">
        <v>212</v>
      </c>
    </row>
    <row r="2" spans="1:22" x14ac:dyDescent="0.25">
      <c r="S2" s="73" t="s">
        <v>124</v>
      </c>
    </row>
    <row r="3" spans="1:22" x14ac:dyDescent="0.25">
      <c r="A3" s="67" t="s">
        <v>176</v>
      </c>
      <c r="B3" t="s">
        <v>109</v>
      </c>
      <c r="C3" t="s">
        <v>181</v>
      </c>
      <c r="H3" s="67" t="s">
        <v>176</v>
      </c>
      <c r="I3" t="s">
        <v>103</v>
      </c>
      <c r="J3" t="s">
        <v>104</v>
      </c>
      <c r="K3" t="s">
        <v>95</v>
      </c>
      <c r="L3" t="s">
        <v>101</v>
      </c>
      <c r="T3" s="182" t="s">
        <v>99</v>
      </c>
      <c r="U3" s="182" t="s">
        <v>100</v>
      </c>
      <c r="V3" s="182" t="s">
        <v>102</v>
      </c>
    </row>
    <row r="4" spans="1:22" x14ac:dyDescent="0.25">
      <c r="A4" s="68">
        <v>2021</v>
      </c>
      <c r="B4" s="66">
        <v>-207.29647424827408</v>
      </c>
      <c r="C4" s="66">
        <v>55.036804050636533</v>
      </c>
      <c r="H4" s="68">
        <v>2021</v>
      </c>
      <c r="I4" s="66">
        <v>1017.1889888390001</v>
      </c>
      <c r="J4" s="66">
        <v>0</v>
      </c>
      <c r="K4" s="66">
        <v>1017.1889888390001</v>
      </c>
      <c r="L4" s="70"/>
      <c r="S4" t="s">
        <v>125</v>
      </c>
      <c r="T4" s="66">
        <f>VLOOKUP(MAX(A4:A9),$A$4:$B$9,2,0)</f>
        <v>-248.81067929473511</v>
      </c>
      <c r="U4" s="66">
        <f>VLOOKUP(MAX(A4:A9)-1,$A$4:$B$9,2,0)</f>
        <v>-201.44643352477797</v>
      </c>
      <c r="V4" s="183"/>
    </row>
    <row r="5" spans="1:22" x14ac:dyDescent="0.25">
      <c r="A5" s="68">
        <v>2022</v>
      </c>
      <c r="B5" s="66">
        <v>-223.53381199338727</v>
      </c>
      <c r="C5" s="66">
        <v>104.26557762657845</v>
      </c>
      <c r="H5" s="68">
        <v>2022</v>
      </c>
      <c r="I5" s="66">
        <v>821.24939299799996</v>
      </c>
      <c r="J5" s="66">
        <v>279.81268643200002</v>
      </c>
      <c r="K5" s="66">
        <v>1101.06207943</v>
      </c>
      <c r="L5" s="70">
        <v>8.2455759461898093E-2</v>
      </c>
      <c r="S5" t="s">
        <v>126</v>
      </c>
      <c r="T5" s="184">
        <f>VLOOKUP(MAX(A14:A19),$A$14:$B$19,2,0)/100</f>
        <v>-5.4000454976350408E-3</v>
      </c>
      <c r="U5" s="184">
        <f>(VLOOKUP(MAX(A14:A19)-1,$A$14:$B$19,2,0))/100</f>
        <v>-4.3710197632483216E-3</v>
      </c>
      <c r="V5" s="183"/>
    </row>
    <row r="6" spans="1:22" x14ac:dyDescent="0.25">
      <c r="A6" s="68">
        <v>2023</v>
      </c>
      <c r="B6" s="66">
        <v>-502.52334919497639</v>
      </c>
      <c r="C6" s="66">
        <v>-170.85838490924149</v>
      </c>
      <c r="H6" s="68">
        <v>2023</v>
      </c>
      <c r="I6" s="66">
        <v>1116.089086639</v>
      </c>
      <c r="J6" s="66">
        <v>82.461669158999996</v>
      </c>
      <c r="K6" s="66">
        <v>1198.550755798</v>
      </c>
      <c r="L6" s="70">
        <v>8.8540581125514772E-2</v>
      </c>
      <c r="S6" t="s">
        <v>196</v>
      </c>
      <c r="T6" s="217">
        <f>VLOOKUP(MAX($G$54:$G$145),$G$54:$J$145,4,0)</f>
        <v>-1163.443329895319</v>
      </c>
      <c r="U6" s="217">
        <f>VLOOKUP(MAX($G$54:$G$145)-1,$G$54:$J$145,4,0)</f>
        <v>-1453.7653154781431</v>
      </c>
      <c r="V6" s="183"/>
    </row>
    <row r="7" spans="1:22" x14ac:dyDescent="0.25">
      <c r="A7" s="68">
        <v>2024</v>
      </c>
      <c r="B7" s="66">
        <v>-201.44643352477797</v>
      </c>
      <c r="C7" s="66">
        <v>-24.13785584352533</v>
      </c>
      <c r="H7" s="68">
        <v>2024</v>
      </c>
      <c r="I7" s="66">
        <v>1210.588990837</v>
      </c>
      <c r="J7" s="66">
        <v>0</v>
      </c>
      <c r="K7" s="66">
        <v>1210.588990837</v>
      </c>
      <c r="L7" s="70">
        <v>1.0043992697651693E-2</v>
      </c>
      <c r="S7" t="s">
        <v>127</v>
      </c>
      <c r="T7" s="184">
        <f>(VLOOKUP(MAX(A54:A139),$A$54:$E$139,5,0))/100</f>
        <v>-2.6557191698456713E-2</v>
      </c>
      <c r="U7" s="184">
        <f>(VLOOKUP(MAX(A54:A139)-1,$A$54:$E$139,5,0))/100</f>
        <v>-3.3632627563948699E-2</v>
      </c>
      <c r="V7" s="183"/>
    </row>
    <row r="8" spans="1:22" x14ac:dyDescent="0.25">
      <c r="A8" s="68">
        <v>2025</v>
      </c>
      <c r="B8" s="66">
        <v>-248.81067929473511</v>
      </c>
      <c r="C8" s="66">
        <v>12.640182455592679</v>
      </c>
      <c r="H8" s="68">
        <v>2025</v>
      </c>
      <c r="I8" s="66">
        <v>1281.4535687109999</v>
      </c>
      <c r="J8" s="66">
        <v>206.858754836</v>
      </c>
      <c r="K8" s="66">
        <v>1488.312323547</v>
      </c>
      <c r="L8" s="70">
        <v>0.22941174487138066</v>
      </c>
      <c r="S8" t="s">
        <v>179</v>
      </c>
      <c r="T8" s="184">
        <f>ABS(VLOOKUP(MAX(M55:M142),$M$55:$Q$142,5,0))/100</f>
        <v>2.3714781565322349E-3</v>
      </c>
      <c r="U8" s="184">
        <f>ABS(VLOOKUP(MAX(M55:M142)-1,$M$55:$Q$142,5,0))/100</f>
        <v>1.51930413259793E-3</v>
      </c>
      <c r="V8" s="183"/>
    </row>
    <row r="9" spans="1:22" x14ac:dyDescent="0.25">
      <c r="S9" t="s">
        <v>180</v>
      </c>
      <c r="T9" s="185">
        <f>VLOOKUP(MAX(A4:A9),$A$4:$C$9,3,0)</f>
        <v>12.640182455592679</v>
      </c>
      <c r="U9" s="185">
        <f>VLOOKUP(MAX(A4:A9)-1,$A$4:$C$9,3,0)</f>
        <v>-24.13785584352533</v>
      </c>
      <c r="V9" s="183"/>
    </row>
    <row r="10" spans="1:22" x14ac:dyDescent="0.25">
      <c r="S10" t="s">
        <v>182</v>
      </c>
      <c r="T10" s="184">
        <f>VLOOKUP(MAX(A14:A19),$A$14:$C$19,3,0)/100</f>
        <v>2.9568341432526126E-4</v>
      </c>
      <c r="U10" s="184">
        <f>VLOOKUP(MAX(A14:A19)-1,$A$14:$C$19,3,0)/100</f>
        <v>-4.9216660449560466E-4</v>
      </c>
      <c r="V10" s="183"/>
    </row>
    <row r="11" spans="1:22" x14ac:dyDescent="0.25">
      <c r="A11" s="67" t="s">
        <v>67</v>
      </c>
      <c r="B11" t="s">
        <v>212</v>
      </c>
      <c r="S11" t="s">
        <v>198</v>
      </c>
      <c r="T11" s="217">
        <f>VLOOKUP(MAX($G$54:$G$145),$G$54:$J$145,3,0)</f>
        <v>-244.26290338704808</v>
      </c>
      <c r="U11" s="217">
        <f>VLOOKUP(MAX($G$54:$G$145)-1,$G$54:$J$145,3,0)</f>
        <v>-476.3871400632197</v>
      </c>
      <c r="V11" s="183"/>
    </row>
    <row r="12" spans="1:22" x14ac:dyDescent="0.25">
      <c r="S12" t="s">
        <v>188</v>
      </c>
      <c r="T12" s="184">
        <f>(VLOOKUP(MAX(A54:A139),$A$54:$E$139,3,0))/100</f>
        <v>-5.8226592341408456E-3</v>
      </c>
      <c r="U12" s="184">
        <f>(VLOOKUP(MAX(A54:A139)-1,$A$54:$E$139,3,0))/100</f>
        <v>-1.1089414274284838E-2</v>
      </c>
      <c r="V12" s="183"/>
    </row>
    <row r="13" spans="1:22" ht="15.75" x14ac:dyDescent="0.25">
      <c r="A13" s="67" t="s">
        <v>176</v>
      </c>
      <c r="B13" t="s">
        <v>110</v>
      </c>
      <c r="C13" t="s">
        <v>177</v>
      </c>
      <c r="S13" t="s">
        <v>98</v>
      </c>
      <c r="T13" s="66">
        <f>VLOOKUP(MAX(A24:A29),$A$24:$H$29,2,0)</f>
        <v>17204.768565810002</v>
      </c>
      <c r="U13" s="66">
        <f>VLOOKUP(MAX(A24:A29)-1,$A$24:$H$29,2,0)</f>
        <v>15733.878077495003</v>
      </c>
      <c r="V13" s="191">
        <f>(IFERROR(T13/U13-1,0))</f>
        <v>9.3485565419430205E-2</v>
      </c>
    </row>
    <row r="14" spans="1:22" ht="15.75" x14ac:dyDescent="0.25">
      <c r="A14" s="68">
        <v>2021</v>
      </c>
      <c r="B14" s="66">
        <v>-0.49014007558679928</v>
      </c>
      <c r="C14" s="66">
        <v>0.14893779425521275</v>
      </c>
      <c r="K14" s="220"/>
      <c r="S14" t="s">
        <v>84</v>
      </c>
      <c r="T14" s="66">
        <f>VLOOKUP(MAX(A24:A29),$A$24:$H$29,3,0)</f>
        <v>13278.945735234001</v>
      </c>
      <c r="U14" s="66">
        <f>VLOOKUP(MAX(A24:A29)-1,$A$24:$H$29,3,0)</f>
        <v>12015.707473808001</v>
      </c>
      <c r="V14" s="190">
        <f>IFERROR(T14/U14-1,0)</f>
        <v>0.1051322416245255</v>
      </c>
    </row>
    <row r="15" spans="1:22" ht="15.75" x14ac:dyDescent="0.25">
      <c r="A15" s="68">
        <v>2022</v>
      </c>
      <c r="B15" s="66">
        <v>-0.53168790787140319</v>
      </c>
      <c r="C15" s="66">
        <v>0.2442188384419291</v>
      </c>
      <c r="K15" s="220"/>
      <c r="S15" t="s">
        <v>85</v>
      </c>
      <c r="T15" s="66">
        <f>VLOOKUP(MAX(A24:A29),$A$24:$H$29,4,0)</f>
        <v>1119.6314853509998</v>
      </c>
      <c r="U15" s="66">
        <f>VLOOKUP(MAX(A24:A29)-1,$A$24:$H$29,4,0)</f>
        <v>1097.2662328710001</v>
      </c>
      <c r="V15" s="190">
        <f t="shared" ref="V15:V32" si="0">IFERROR(T15/U15-1,0)</f>
        <v>2.0382703677557901E-2</v>
      </c>
    </row>
    <row r="16" spans="1:22" ht="15.75" x14ac:dyDescent="0.25">
      <c r="A16" s="68">
        <v>2023</v>
      </c>
      <c r="B16" s="66">
        <v>-1.1555401247831334</v>
      </c>
      <c r="C16" s="66">
        <v>-0.39235171286737602</v>
      </c>
      <c r="K16" s="220"/>
      <c r="S16" t="s">
        <v>86</v>
      </c>
      <c r="T16" s="66">
        <f>VLOOKUP(MAX(A24:A29),$A$24:$H$29,5,0)</f>
        <v>519.73468122399993</v>
      </c>
      <c r="U16" s="66">
        <f>VLOOKUP(MAX(A24:A29)-1,$A$24:$H$29,5,0)</f>
        <v>579.38410528500003</v>
      </c>
      <c r="V16" s="190">
        <f t="shared" si="0"/>
        <v>-0.10295315925461646</v>
      </c>
    </row>
    <row r="17" spans="1:22" ht="15.75" x14ac:dyDescent="0.25">
      <c r="A17" s="68">
        <v>2024</v>
      </c>
      <c r="B17" s="66">
        <v>-0.43710197632483216</v>
      </c>
      <c r="C17" s="66">
        <v>-4.9216660449560468E-2</v>
      </c>
      <c r="S17" t="s">
        <v>87</v>
      </c>
      <c r="T17" s="66">
        <f>VLOOKUP(MAX(A24:A29),$A$24:$H$29,4,0)</f>
        <v>1119.6314853509998</v>
      </c>
      <c r="U17" s="66">
        <f>VLOOKUP(MAX(A24:A29)-1,$A$24:$H$29,4,0)</f>
        <v>1097.2662328710001</v>
      </c>
      <c r="V17" s="190">
        <f t="shared" si="0"/>
        <v>2.0382703677557901E-2</v>
      </c>
    </row>
    <row r="18" spans="1:22" ht="15.75" x14ac:dyDescent="0.25">
      <c r="A18" s="68">
        <v>2025</v>
      </c>
      <c r="B18" s="66">
        <v>-0.54000454976350409</v>
      </c>
      <c r="C18" s="66">
        <v>2.9568341432526124E-2</v>
      </c>
      <c r="S18" t="s">
        <v>11</v>
      </c>
      <c r="T18" s="66">
        <f>VLOOKUP(MAX(A24:A29),$A$24:$H$29,5,0)</f>
        <v>519.73468122399993</v>
      </c>
      <c r="U18" s="66">
        <f>VLOOKUP(MAX(A24:A29)-1,$A$24:$H$29,5,0)</f>
        <v>579.38410528500003</v>
      </c>
      <c r="V18" s="190">
        <f t="shared" si="0"/>
        <v>-0.10295315925461646</v>
      </c>
    </row>
    <row r="19" spans="1:22" ht="15.75" x14ac:dyDescent="0.25">
      <c r="S19" t="s">
        <v>88</v>
      </c>
      <c r="T19" s="66">
        <f>VLOOKUP(MAX(A24:A29),$A$24:$H$29,6,0)</f>
        <v>2286.4566640009998</v>
      </c>
      <c r="U19" s="66">
        <f>VLOOKUP(MAX(A24:A29)-1,$A$24:$H$29,6,0)</f>
        <v>2041.5202655309999</v>
      </c>
      <c r="V19" s="190">
        <f t="shared" si="0"/>
        <v>0.11997745141476313</v>
      </c>
    </row>
    <row r="20" spans="1:22" ht="15.75" x14ac:dyDescent="0.25">
      <c r="S20" t="s">
        <v>128</v>
      </c>
      <c r="T20" s="66">
        <f>VLOOKUP(MAX(A34:A39),$A$34:$H$39,2,0)</f>
        <v>17097.166926234</v>
      </c>
      <c r="U20" s="66">
        <f>VLOOKUP(MAX(A34:A39)-1,$A$34:$H$39,2,0)</f>
        <v>15899.302351802002</v>
      </c>
      <c r="V20" s="191">
        <f t="shared" si="0"/>
        <v>7.5340700360744695E-2</v>
      </c>
    </row>
    <row r="21" spans="1:22" ht="15.75" x14ac:dyDescent="0.25">
      <c r="A21" s="67" t="s">
        <v>67</v>
      </c>
      <c r="B21" t="s">
        <v>212</v>
      </c>
      <c r="S21" t="s">
        <v>89</v>
      </c>
      <c r="T21" s="66">
        <f>VLOOKUP(MAX(A34:A39),$A$34:$H$39,3,0)</f>
        <v>7127.8432016309998</v>
      </c>
      <c r="U21" s="66">
        <f>VLOOKUP(MAX(A34:A39)-1,$A$34:$H$39,3,0)</f>
        <v>6614.8130605860006</v>
      </c>
      <c r="V21" s="190">
        <f t="shared" si="0"/>
        <v>7.7557768654394899E-2</v>
      </c>
    </row>
    <row r="22" spans="1:22" ht="15.75" x14ac:dyDescent="0.25">
      <c r="S22" t="s">
        <v>90</v>
      </c>
      <c r="T22" s="66">
        <f>VLOOKUP(MAX(A34:A39),$A$34:$H$39,4,0)</f>
        <v>1998.3193255489998</v>
      </c>
      <c r="U22" s="66">
        <f>VLOOKUP(MAX(A34:A39)-1,$A$34:$H$39,4,0)</f>
        <v>2276.570273327</v>
      </c>
      <c r="V22" s="190">
        <f t="shared" si="0"/>
        <v>-0.12222374641278333</v>
      </c>
    </row>
    <row r="23" spans="1:22" ht="15.75" x14ac:dyDescent="0.25">
      <c r="A23" s="67" t="s">
        <v>176</v>
      </c>
      <c r="B23" t="s">
        <v>96</v>
      </c>
      <c r="C23" t="s">
        <v>94</v>
      </c>
      <c r="D23" t="s">
        <v>111</v>
      </c>
      <c r="E23" t="s">
        <v>106</v>
      </c>
      <c r="F23" t="s">
        <v>112</v>
      </c>
      <c r="S23" t="s">
        <v>31</v>
      </c>
      <c r="T23" s="66">
        <f>VLOOKUP(MAX(A34:A39),$A$34:$H$39,5,0)</f>
        <v>2317.1339911170003</v>
      </c>
      <c r="U23" s="66">
        <f>VLOOKUP(MAX(A34:A39)-1,$A$34:$H$39,5,0)</f>
        <v>1983.9199207250001</v>
      </c>
      <c r="V23" s="190">
        <f t="shared" si="0"/>
        <v>0.16795741950624254</v>
      </c>
    </row>
    <row r="24" spans="1:22" ht="15.75" x14ac:dyDescent="0.25">
      <c r="A24" s="68">
        <v>2021</v>
      </c>
      <c r="B24" s="66">
        <v>11758.076683399002</v>
      </c>
      <c r="C24" s="66">
        <v>8068.8052795490012</v>
      </c>
      <c r="D24" s="66">
        <v>1063.500576378</v>
      </c>
      <c r="E24" s="66">
        <v>608.05507135099992</v>
      </c>
      <c r="F24" s="66">
        <v>2017.7157561209997</v>
      </c>
      <c r="S24" t="s">
        <v>11</v>
      </c>
      <c r="T24" s="66">
        <f>VLOOKUP(MAX(A34:A39),$A$34:$H$39,6,0)</f>
        <v>1844.0390065999998</v>
      </c>
      <c r="U24" s="66">
        <f>VLOOKUP(MAX(A34:A39)-1,$A$34:$H$39,6,0)</f>
        <v>1626.4445473119999</v>
      </c>
      <c r="V24" s="190">
        <f t="shared" si="0"/>
        <v>0.13378535385520207</v>
      </c>
    </row>
    <row r="25" spans="1:22" ht="15.75" x14ac:dyDescent="0.25">
      <c r="A25" s="68">
        <v>2022</v>
      </c>
      <c r="B25" s="66">
        <v>13195.39455529</v>
      </c>
      <c r="C25" s="66">
        <v>9550.8193028780006</v>
      </c>
      <c r="D25" s="66">
        <v>1369.2617532899999</v>
      </c>
      <c r="E25" s="66">
        <v>460.80959908799991</v>
      </c>
      <c r="F25" s="66">
        <v>1814.5039000340003</v>
      </c>
      <c r="S25" t="s">
        <v>91</v>
      </c>
      <c r="T25" s="66">
        <f>VLOOKUP(MAX(A34:A39),$A$34:$H$39,7,0)</f>
        <v>3355.5823372979994</v>
      </c>
      <c r="U25" s="66">
        <f>VLOOKUP(MAX(A34:A39)-1,$A$34:$H$39,7,0)</f>
        <v>2943.4990035119999</v>
      </c>
      <c r="V25" s="190">
        <f t="shared" si="0"/>
        <v>0.13999778267100726</v>
      </c>
    </row>
    <row r="26" spans="1:22" ht="15.75" x14ac:dyDescent="0.25">
      <c r="A26" s="68">
        <v>2023</v>
      </c>
      <c r="B26" s="66">
        <v>13306.456915660001</v>
      </c>
      <c r="C26" s="66">
        <v>9666.835800633</v>
      </c>
      <c r="D26" s="66">
        <v>1219.2315686069999</v>
      </c>
      <c r="E26" s="66">
        <v>545.14386540700002</v>
      </c>
      <c r="F26" s="66">
        <v>1875.2456810130002</v>
      </c>
      <c r="I26" s="170"/>
      <c r="S26" t="s">
        <v>39</v>
      </c>
      <c r="T26" s="66">
        <f>VLOOKUP(MAX(A34:A39),$A$34:$H$39,8,0)</f>
        <v>454.24906403900002</v>
      </c>
      <c r="U26" s="66">
        <f>VLOOKUP(MAX(A34:A39)-1,$A$34:$H$39,8,0)</f>
        <v>454.05554633999998</v>
      </c>
      <c r="V26" s="190">
        <f t="shared" si="0"/>
        <v>4.2619829349055394E-4</v>
      </c>
    </row>
    <row r="27" spans="1:22" ht="15.75" x14ac:dyDescent="0.25">
      <c r="A27" s="68">
        <v>2024</v>
      </c>
      <c r="B27" s="66">
        <v>15733.878077495003</v>
      </c>
      <c r="C27" s="66">
        <v>12015.707473808001</v>
      </c>
      <c r="D27" s="66">
        <v>1097.2662328710001</v>
      </c>
      <c r="E27" s="66">
        <v>579.38410528500003</v>
      </c>
      <c r="F27" s="66">
        <v>2041.5202655309999</v>
      </c>
      <c r="S27" t="s">
        <v>129</v>
      </c>
      <c r="T27" s="66">
        <f>VLOOKUP(MAX(A44:A49),$A$44:$F$49,2,0)</f>
        <v>2072.722850911</v>
      </c>
      <c r="U27" s="66">
        <f>VLOOKUP(MAX(A44:A49)-1,$A$44:$F$49,2,0)</f>
        <v>1303.7383338670002</v>
      </c>
      <c r="V27" s="191">
        <f t="shared" si="0"/>
        <v>0.58983041080269971</v>
      </c>
    </row>
    <row r="28" spans="1:22" ht="15.75" x14ac:dyDescent="0.25">
      <c r="A28" s="68">
        <v>2025</v>
      </c>
      <c r="B28" s="66">
        <v>17204.768565810002</v>
      </c>
      <c r="C28" s="66">
        <v>13278.945735234001</v>
      </c>
      <c r="D28" s="66">
        <v>1119.6314853509998</v>
      </c>
      <c r="E28" s="66">
        <v>519.73468122399993</v>
      </c>
      <c r="F28" s="66">
        <v>2286.4566640009998</v>
      </c>
      <c r="S28" t="s">
        <v>130</v>
      </c>
      <c r="T28" s="66">
        <f>VLOOKUP(MAX(A44:A49),$A$44:$F$49,3,0)</f>
        <v>261.45086175032782</v>
      </c>
      <c r="U28" s="65">
        <f>VLOOKUP(MAX(A44:A49)-1,$A$44:$F$49,3,0)</f>
        <v>177.30857768125261</v>
      </c>
      <c r="V28" s="190">
        <f t="shared" si="0"/>
        <v>0.47455281165436713</v>
      </c>
    </row>
    <row r="29" spans="1:22" ht="15.75" x14ac:dyDescent="0.25">
      <c r="S29" t="s">
        <v>131</v>
      </c>
      <c r="T29" s="184">
        <f>VLOOKUP(MAX(A44:A49),$A$44:$F$49,4,0)/100</f>
        <v>5.695728911960303E-3</v>
      </c>
      <c r="U29" s="184">
        <f>VLOOKUP(MAX(A44:A49)-1,$A$44:$F$49,4,0)/100</f>
        <v>3.878853158752717E-3</v>
      </c>
      <c r="V29" s="190">
        <f t="shared" si="0"/>
        <v>0.46840539686524774</v>
      </c>
    </row>
    <row r="30" spans="1:22" ht="15.75" x14ac:dyDescent="0.25">
      <c r="S30" t="s">
        <v>132</v>
      </c>
      <c r="T30" s="184">
        <f>ABS(VLOOKUP(MAX(A54:A130),$A$54:$E$130,4,0))/100</f>
        <v>2.073453246431587E-2</v>
      </c>
      <c r="U30" s="184">
        <f>ABS(VLOOKUP(MAX(A54:A139)-1,$A$54:$E$139,4,0))/100</f>
        <v>2.2543213289663862E-2</v>
      </c>
      <c r="V30" s="190">
        <f t="shared" si="0"/>
        <v>-8.0231722164349928E-2</v>
      </c>
    </row>
    <row r="31" spans="1:22" ht="15.75" x14ac:dyDescent="0.25">
      <c r="A31" s="67" t="s">
        <v>67</v>
      </c>
      <c r="B31" t="s">
        <v>212</v>
      </c>
      <c r="S31" t="s">
        <v>133</v>
      </c>
      <c r="T31" s="66">
        <f>VLOOKUP(MAX(A44:A49),$A$44:$F$49,5,0)</f>
        <v>159.77625994601766</v>
      </c>
      <c r="U31" s="65">
        <f>VLOOKUP(MAX(A44:A49)-1,$A$44:$F$49,5,0)</f>
        <v>135.61747784482668</v>
      </c>
      <c r="V31" s="190">
        <f t="shared" si="0"/>
        <v>0.17813914906184447</v>
      </c>
    </row>
    <row r="32" spans="1:22" ht="15.75" x14ac:dyDescent="0.25">
      <c r="S32" t="s">
        <v>134</v>
      </c>
      <c r="T32" s="194">
        <f>VLOOKUP(MAX(A44:A49),$A$44:$F$49,6,0)</f>
        <v>101.67460180431016</v>
      </c>
      <c r="U32" s="66">
        <f>VLOOKUP(MAX(A44:A49)-1,$A$44:$F$49,6,0)</f>
        <v>41.691099836425941</v>
      </c>
      <c r="V32" s="190">
        <f t="shared" si="0"/>
        <v>1.4387603638001418</v>
      </c>
    </row>
    <row r="33" spans="1:22" x14ac:dyDescent="0.25">
      <c r="A33" s="67" t="s">
        <v>176</v>
      </c>
      <c r="B33" t="s">
        <v>113</v>
      </c>
      <c r="C33" t="s">
        <v>114</v>
      </c>
      <c r="D33" t="s">
        <v>115</v>
      </c>
      <c r="E33" t="s">
        <v>105</v>
      </c>
      <c r="F33" t="s">
        <v>106</v>
      </c>
      <c r="G33" t="s">
        <v>116</v>
      </c>
      <c r="H33" t="s">
        <v>107</v>
      </c>
      <c r="S33" t="s">
        <v>135</v>
      </c>
      <c r="T33" s="186">
        <f>+T31/T28</f>
        <v>0.61111391592426956</v>
      </c>
      <c r="U33" s="186">
        <f>+U31/U28</f>
        <v>0.76486698849181467</v>
      </c>
      <c r="V33" s="192"/>
    </row>
    <row r="34" spans="1:22" x14ac:dyDescent="0.25">
      <c r="A34" s="68">
        <v>2021</v>
      </c>
      <c r="B34" s="66">
        <v>11355.000527897</v>
      </c>
      <c r="C34" s="66">
        <v>5344.8958055910007</v>
      </c>
      <c r="D34" s="66">
        <v>1058.8287381090001</v>
      </c>
      <c r="E34" s="66">
        <v>1147.270075549</v>
      </c>
      <c r="F34" s="66">
        <v>1367.1089316819998</v>
      </c>
      <c r="G34" s="66">
        <v>2012.1050155570001</v>
      </c>
      <c r="H34" s="66">
        <v>424.79196140899995</v>
      </c>
      <c r="S34" t="s">
        <v>136</v>
      </c>
      <c r="T34" s="186">
        <f>+T32/T28</f>
        <v>0.38888608407573044</v>
      </c>
      <c r="U34" s="186">
        <f>+U32/U28</f>
        <v>0.23513301150818533</v>
      </c>
      <c r="V34" s="192"/>
    </row>
    <row r="35" spans="1:22" x14ac:dyDescent="0.25">
      <c r="A35" s="68">
        <v>2022</v>
      </c>
      <c r="B35" s="66">
        <v>12479.963309986999</v>
      </c>
      <c r="C35" s="66">
        <v>5713.8455715759992</v>
      </c>
      <c r="D35" s="66">
        <v>1309.0886523450001</v>
      </c>
      <c r="E35" s="66">
        <v>1312.2147339569999</v>
      </c>
      <c r="F35" s="66">
        <v>1299.313701864</v>
      </c>
      <c r="G35" s="66">
        <v>2320.6152674369996</v>
      </c>
      <c r="H35" s="66">
        <v>524.88538280800003</v>
      </c>
      <c r="S35" t="s">
        <v>220</v>
      </c>
      <c r="T35" s="66">
        <f>VLOOKUP(MAX($H$4:$H$25),$H$4:$L$25,4,0)</f>
        <v>1488.312323547</v>
      </c>
      <c r="U35" s="66">
        <f>VLOOKUP(MAX($H$4:$H$25)-1,$H$4:$L$25,4,0)</f>
        <v>1210.588990837</v>
      </c>
    </row>
    <row r="36" spans="1:22" x14ac:dyDescent="0.25">
      <c r="A36" s="68">
        <v>2023</v>
      </c>
      <c r="B36" s="66">
        <v>14539.547619201001</v>
      </c>
      <c r="C36" s="66">
        <v>6133.9137297729994</v>
      </c>
      <c r="D36" s="66">
        <v>1894.4232006689999</v>
      </c>
      <c r="E36" s="66">
        <v>1564.7175502229998</v>
      </c>
      <c r="F36" s="66">
        <v>1571.4008469810001</v>
      </c>
      <c r="G36" s="66">
        <v>2867.4828871669997</v>
      </c>
      <c r="H36" s="66">
        <v>507.60940438800003</v>
      </c>
    </row>
    <row r="37" spans="1:22" ht="15.75" x14ac:dyDescent="0.25">
      <c r="A37" s="68">
        <v>2024</v>
      </c>
      <c r="B37" s="66">
        <v>15899.302351802002</v>
      </c>
      <c r="C37" s="66">
        <v>6614.8130605860006</v>
      </c>
      <c r="D37" s="66">
        <v>2276.570273327</v>
      </c>
      <c r="E37" s="66">
        <v>1983.9199207250001</v>
      </c>
      <c r="F37" s="66">
        <v>1626.4445473119999</v>
      </c>
      <c r="G37" s="66">
        <v>2943.4990035119999</v>
      </c>
      <c r="H37" s="66">
        <v>454.05554633999998</v>
      </c>
      <c r="S37" t="s">
        <v>205</v>
      </c>
      <c r="T37" s="222">
        <f>VLOOKUP(MAX(F140:F200),$F$140:$H$200,3,0)</f>
        <v>7127.4810189169993</v>
      </c>
      <c r="U37" s="222">
        <f>VLOOKUP(MAX(F140:F200)-1,$F$140:$H$200,3,0)</f>
        <v>7169.610256986999</v>
      </c>
      <c r="V37" s="190">
        <f>T37/U37-1</f>
        <v>-5.8760848302658042E-3</v>
      </c>
    </row>
    <row r="38" spans="1:22" ht="15.75" x14ac:dyDescent="0.25">
      <c r="A38" s="68">
        <v>2025</v>
      </c>
      <c r="B38" s="66">
        <v>17097.166926234</v>
      </c>
      <c r="C38" s="66">
        <v>7127.8432016309998</v>
      </c>
      <c r="D38" s="66">
        <v>1998.3193255489998</v>
      </c>
      <c r="E38" s="66">
        <v>2317.1339911170003</v>
      </c>
      <c r="F38" s="66">
        <v>1844.0390065999998</v>
      </c>
      <c r="G38" s="66">
        <v>3355.5823372979994</v>
      </c>
      <c r="H38" s="66">
        <v>454.24906403900002</v>
      </c>
      <c r="S38" t="s">
        <v>206</v>
      </c>
      <c r="T38" s="217">
        <f>VLOOKUP(MAX($A$140:$A$226),$A$140:$D$226,4,0)</f>
        <v>919.18042650827113</v>
      </c>
      <c r="U38" s="217">
        <f>VLOOKUP(MAX($A$140:$A$226)-1,$A$140:$D$226,4,0)</f>
        <v>977.37817541492325</v>
      </c>
      <c r="V38" s="191">
        <f>T37/U37-1</f>
        <v>-5.8760848302658042E-3</v>
      </c>
    </row>
    <row r="39" spans="1:22" ht="15.75" x14ac:dyDescent="0.25">
      <c r="S39" t="s">
        <v>208</v>
      </c>
      <c r="T39" s="217">
        <f>VLOOKUP(MAX(A140:A179),$A$140:$C$179,3,0)</f>
        <v>580.65621513638291</v>
      </c>
      <c r="U39" s="217">
        <f>VLOOKUP(MAX(A140:A179)-1,$A$140:$C$179,3,0)</f>
        <v>754.93903777228297</v>
      </c>
      <c r="V39" s="191">
        <f t="shared" ref="V39" si="1">IFERROR(T39/U39-1,0)</f>
        <v>-0.23085681613469577</v>
      </c>
    </row>
    <row r="41" spans="1:22" x14ac:dyDescent="0.25">
      <c r="A41" s="67" t="s">
        <v>67</v>
      </c>
      <c r="B41" t="s">
        <v>212</v>
      </c>
      <c r="T41" s="231">
        <f>T38-T39-0.01</f>
        <v>338.51421137188822</v>
      </c>
      <c r="U41" s="221">
        <f>U38-U39</f>
        <v>222.43913764264028</v>
      </c>
    </row>
    <row r="43" spans="1:22" ht="30" x14ac:dyDescent="0.25">
      <c r="A43" s="67" t="s">
        <v>176</v>
      </c>
      <c r="B43" t="s">
        <v>117</v>
      </c>
      <c r="C43" t="s">
        <v>137</v>
      </c>
      <c r="D43" s="72" t="s">
        <v>118</v>
      </c>
      <c r="E43" t="s">
        <v>119</v>
      </c>
      <c r="F43" t="s">
        <v>120</v>
      </c>
      <c r="T43" s="71">
        <f>T39/T38</f>
        <v>0.63171081366706838</v>
      </c>
    </row>
    <row r="44" spans="1:22" x14ac:dyDescent="0.25">
      <c r="A44" s="68">
        <v>2021</v>
      </c>
      <c r="B44" s="66">
        <v>1729.561338883</v>
      </c>
      <c r="C44" s="65">
        <v>262.33327829891061</v>
      </c>
      <c r="D44" s="66">
        <v>0.63907786984201198</v>
      </c>
      <c r="E44" s="65">
        <v>220.34851780658965</v>
      </c>
      <c r="F44" s="65">
        <v>41.984760492320923</v>
      </c>
      <c r="T44" s="71">
        <f>T41/T38</f>
        <v>0.36827830707602882</v>
      </c>
    </row>
    <row r="45" spans="1:22" x14ac:dyDescent="0.25">
      <c r="A45" s="68">
        <v>2022</v>
      </c>
      <c r="B45" s="66">
        <v>2272.9938988139993</v>
      </c>
      <c r="C45" s="65">
        <v>327.79938961996572</v>
      </c>
      <c r="D45" s="66">
        <v>0.77590674631333223</v>
      </c>
      <c r="E45" s="65">
        <v>271.83763747712334</v>
      </c>
      <c r="F45" s="65">
        <v>55.961752142842386</v>
      </c>
    </row>
    <row r="46" spans="1:22" x14ac:dyDescent="0.25">
      <c r="A46" s="68">
        <v>2023</v>
      </c>
      <c r="B46" s="66">
        <v>2398.563597202</v>
      </c>
      <c r="C46" s="65">
        <v>331.66496428573487</v>
      </c>
      <c r="D46" s="66">
        <v>0.76318841191575737</v>
      </c>
      <c r="E46" s="65">
        <v>291.95571494865595</v>
      </c>
      <c r="F46" s="65">
        <v>39.709249337078859</v>
      </c>
      <c r="I46" s="170"/>
    </row>
    <row r="47" spans="1:22" x14ac:dyDescent="0.25">
      <c r="A47" s="68">
        <v>2024</v>
      </c>
      <c r="B47" s="66">
        <v>1303.7383338670002</v>
      </c>
      <c r="C47" s="65">
        <v>177.30857768125261</v>
      </c>
      <c r="D47" s="66">
        <v>0.3878853158752717</v>
      </c>
      <c r="E47" s="65">
        <v>135.61747784482668</v>
      </c>
      <c r="F47" s="65">
        <v>41.691099836425941</v>
      </c>
      <c r="J47" s="170"/>
    </row>
    <row r="48" spans="1:22" x14ac:dyDescent="0.25">
      <c r="A48" s="68">
        <v>2025</v>
      </c>
      <c r="B48" s="66">
        <v>2072.722850911</v>
      </c>
      <c r="C48" s="65">
        <v>261.45086175032782</v>
      </c>
      <c r="D48" s="66">
        <v>0.56957289119603027</v>
      </c>
      <c r="E48" s="65">
        <v>159.77625994601766</v>
      </c>
      <c r="F48" s="65">
        <v>101.67460180431016</v>
      </c>
    </row>
    <row r="51" spans="1:17" x14ac:dyDescent="0.25">
      <c r="A51" s="67" t="s">
        <v>67</v>
      </c>
      <c r="B51" t="s">
        <v>212</v>
      </c>
      <c r="G51" s="67" t="s">
        <v>67</v>
      </c>
      <c r="H51" t="s">
        <v>212</v>
      </c>
    </row>
    <row r="52" spans="1:17" x14ac:dyDescent="0.25">
      <c r="M52" s="67" t="s">
        <v>67</v>
      </c>
      <c r="N52" t="s">
        <v>212</v>
      </c>
    </row>
    <row r="53" spans="1:17" ht="45" x14ac:dyDescent="0.25">
      <c r="A53" s="67" t="s">
        <v>68</v>
      </c>
      <c r="B53" s="67" t="s">
        <v>97</v>
      </c>
      <c r="C53" s="72" t="s">
        <v>121</v>
      </c>
      <c r="D53" s="72" t="s">
        <v>122</v>
      </c>
      <c r="E53" s="72" t="s">
        <v>123</v>
      </c>
      <c r="G53" s="67" t="s">
        <v>68</v>
      </c>
      <c r="H53" s="67" t="s">
        <v>97</v>
      </c>
      <c r="I53" t="s">
        <v>199</v>
      </c>
      <c r="J53" t="s">
        <v>197</v>
      </c>
    </row>
    <row r="54" spans="1:17" x14ac:dyDescent="0.25">
      <c r="A54">
        <v>2021</v>
      </c>
      <c r="B54" s="69">
        <v>4</v>
      </c>
      <c r="C54" s="66">
        <v>-1.5190317340745823</v>
      </c>
      <c r="D54" s="66">
        <v>3.3394695921484243</v>
      </c>
      <c r="E54" s="66">
        <v>-4.8585013262230063</v>
      </c>
      <c r="G54">
        <v>2021</v>
      </c>
      <c r="H54" s="69">
        <v>4</v>
      </c>
      <c r="I54" s="66">
        <v>-526.87735616174552</v>
      </c>
      <c r="J54" s="66">
        <v>-1727.6071330393333</v>
      </c>
      <c r="M54" s="67" t="s">
        <v>68</v>
      </c>
      <c r="N54" s="67" t="s">
        <v>97</v>
      </c>
      <c r="O54" t="s">
        <v>177</v>
      </c>
      <c r="P54" t="s">
        <v>178</v>
      </c>
      <c r="Q54" t="s">
        <v>110</v>
      </c>
    </row>
    <row r="55" spans="1:17" x14ac:dyDescent="0.25">
      <c r="A55">
        <v>2021</v>
      </c>
      <c r="B55" s="69">
        <v>3</v>
      </c>
      <c r="C55" s="66">
        <v>-2.2757067387487586</v>
      </c>
      <c r="D55" s="66">
        <v>3.388681978254926</v>
      </c>
      <c r="E55" s="66">
        <v>-5.6643887170036837</v>
      </c>
      <c r="G55">
        <v>2021</v>
      </c>
      <c r="H55" s="69">
        <v>3</v>
      </c>
      <c r="I55" s="66">
        <v>-807.53736374598134</v>
      </c>
      <c r="J55" s="66">
        <v>-2015.0648164228842</v>
      </c>
      <c r="M55">
        <v>2021</v>
      </c>
      <c r="N55" s="69">
        <v>4</v>
      </c>
      <c r="O55" s="66">
        <v>3.3717609715727154E-2</v>
      </c>
      <c r="P55" s="66">
        <v>0.21139847352624791</v>
      </c>
      <c r="Q55" s="66">
        <v>-0.17768086381052078</v>
      </c>
    </row>
    <row r="56" spans="1:17" x14ac:dyDescent="0.25">
      <c r="A56">
        <v>2021</v>
      </c>
      <c r="B56" s="69">
        <v>2</v>
      </c>
      <c r="C56" s="66">
        <v>-2.2796600260864821</v>
      </c>
      <c r="D56" s="66">
        <v>3.6387685894982349</v>
      </c>
      <c r="E56" s="66">
        <v>-5.918428615584717</v>
      </c>
      <c r="G56">
        <v>2021</v>
      </c>
      <c r="H56" s="69">
        <v>2</v>
      </c>
      <c r="I56" s="66">
        <v>-799.02795861134098</v>
      </c>
      <c r="J56" s="66">
        <v>-2087.8332894796749</v>
      </c>
      <c r="M56">
        <v>2021</v>
      </c>
      <c r="N56" s="69">
        <v>3</v>
      </c>
      <c r="O56" s="66">
        <v>-0.20296140640904467</v>
      </c>
      <c r="P56" s="66">
        <v>0.20299257096425588</v>
      </c>
      <c r="Q56" s="66">
        <v>-0.40595397737330058</v>
      </c>
    </row>
    <row r="57" spans="1:17" x14ac:dyDescent="0.25">
      <c r="A57">
        <v>2021</v>
      </c>
      <c r="B57" s="69">
        <v>1</v>
      </c>
      <c r="C57" s="66">
        <v>-2.2452141807758346</v>
      </c>
      <c r="D57" s="66">
        <v>3.6813365822153297</v>
      </c>
      <c r="E57" s="66">
        <v>-5.9265507629911642</v>
      </c>
      <c r="G57">
        <v>2021</v>
      </c>
      <c r="H57" s="69">
        <v>1</v>
      </c>
      <c r="I57" s="66">
        <v>-786.51124431854475</v>
      </c>
      <c r="J57" s="66">
        <v>-2087.6874145614274</v>
      </c>
      <c r="M57">
        <v>2021</v>
      </c>
      <c r="N57" s="69">
        <v>2</v>
      </c>
      <c r="O57" s="66">
        <v>4.4847703412539989E-3</v>
      </c>
      <c r="P57" s="66">
        <v>9.4917217302481857E-2</v>
      </c>
      <c r="Q57" s="66">
        <v>-9.0432446961227861E-2</v>
      </c>
    </row>
    <row r="58" spans="1:17" x14ac:dyDescent="0.25">
      <c r="A58">
        <v>2022</v>
      </c>
      <c r="B58" s="69">
        <v>4</v>
      </c>
      <c r="C58" s="66">
        <v>-0.6250164517986545</v>
      </c>
      <c r="D58" s="66">
        <v>3.047477203276892</v>
      </c>
      <c r="E58" s="66">
        <v>-3.6724936550755474</v>
      </c>
      <c r="G58">
        <v>2022</v>
      </c>
      <c r="H58" s="69">
        <v>4</v>
      </c>
      <c r="I58" s="66">
        <v>-238.72818434647192</v>
      </c>
      <c r="J58" s="66">
        <v>-1465.3922928739375</v>
      </c>
      <c r="M58">
        <v>2021</v>
      </c>
      <c r="N58" s="69">
        <v>1</v>
      </c>
      <c r="O58" s="66">
        <v>0.31369682060727627</v>
      </c>
      <c r="P58" s="66">
        <v>0.12976960804902637</v>
      </c>
      <c r="Q58" s="66">
        <v>0.18392721255824993</v>
      </c>
    </row>
    <row r="59" spans="1:17" x14ac:dyDescent="0.25">
      <c r="A59">
        <v>2022</v>
      </c>
      <c r="B59" s="69">
        <v>3</v>
      </c>
      <c r="C59" s="66">
        <v>-0.85026253902021987</v>
      </c>
      <c r="D59" s="66">
        <v>3.0419265904024613</v>
      </c>
      <c r="E59" s="66">
        <v>-3.892189129422682</v>
      </c>
      <c r="G59">
        <v>2022</v>
      </c>
      <c r="H59" s="69">
        <v>3</v>
      </c>
      <c r="I59" s="66">
        <v>-335.21103551015653</v>
      </c>
      <c r="J59" s="66">
        <v>-1558.3642810772137</v>
      </c>
      <c r="M59">
        <v>2022</v>
      </c>
      <c r="N59" s="69">
        <v>4</v>
      </c>
      <c r="O59" s="66">
        <v>0.25896369693729232</v>
      </c>
      <c r="P59" s="66">
        <v>0.21694908640067806</v>
      </c>
      <c r="Q59" s="66">
        <v>4.2014610536614254E-2</v>
      </c>
    </row>
    <row r="60" spans="1:17" x14ac:dyDescent="0.25">
      <c r="A60">
        <v>2022</v>
      </c>
      <c r="B60" s="69">
        <v>2</v>
      </c>
      <c r="C60" s="66">
        <v>-0.83436511810483194</v>
      </c>
      <c r="D60" s="66">
        <v>2.9777341716657286</v>
      </c>
      <c r="E60" s="66">
        <v>-3.8120992897705612</v>
      </c>
      <c r="G60">
        <v>2022</v>
      </c>
      <c r="H60" s="69">
        <v>2</v>
      </c>
      <c r="I60" s="66">
        <v>-327.12354264265701</v>
      </c>
      <c r="J60" s="66">
        <v>-1521.8702839373198</v>
      </c>
      <c r="M60">
        <v>2022</v>
      </c>
      <c r="N60" s="69">
        <v>3</v>
      </c>
      <c r="O60" s="66">
        <v>-0.21885882732443246</v>
      </c>
      <c r="P60" s="66">
        <v>0.26718498970098908</v>
      </c>
      <c r="Q60" s="66">
        <v>-0.4860438170254216</v>
      </c>
    </row>
    <row r="61" spans="1:17" x14ac:dyDescent="0.25">
      <c r="A61">
        <v>2022</v>
      </c>
      <c r="B61" s="69">
        <v>1</v>
      </c>
      <c r="C61" s="66">
        <v>-0.86763090916914043</v>
      </c>
      <c r="D61" s="66">
        <v>2.8322228675670016</v>
      </c>
      <c r="E61" s="66">
        <v>-3.699853776736143</v>
      </c>
      <c r="G61">
        <v>2022</v>
      </c>
      <c r="H61" s="69">
        <v>1</v>
      </c>
      <c r="I61" s="66">
        <v>-341.19344402078883</v>
      </c>
      <c r="J61" s="66">
        <v>-1473.0410415566998</v>
      </c>
      <c r="M61">
        <v>2022</v>
      </c>
      <c r="N61" s="69">
        <v>2</v>
      </c>
      <c r="O61" s="66">
        <v>3.7750561405562565E-2</v>
      </c>
      <c r="P61" s="66">
        <v>0.24042852140120863</v>
      </c>
      <c r="Q61" s="66">
        <v>-0.20267795999564603</v>
      </c>
    </row>
    <row r="62" spans="1:17" x14ac:dyDescent="0.25">
      <c r="A62">
        <v>2023</v>
      </c>
      <c r="B62" s="69">
        <v>4</v>
      </c>
      <c r="C62" s="66">
        <v>-0.70982073906907583</v>
      </c>
      <c r="D62" s="66">
        <v>2.8476551683864262</v>
      </c>
      <c r="E62" s="66">
        <v>-3.5574759074555029</v>
      </c>
      <c r="G62">
        <v>2023</v>
      </c>
      <c r="H62" s="69">
        <v>4</v>
      </c>
      <c r="I62" s="66">
        <v>-288.98710879564743</v>
      </c>
      <c r="J62" s="66">
        <v>-1487.9577678089936</v>
      </c>
      <c r="M62">
        <v>2022</v>
      </c>
      <c r="N62" s="69">
        <v>1</v>
      </c>
      <c r="O62" s="66">
        <v>0.16636340742350667</v>
      </c>
      <c r="P62" s="66">
        <v>5.1344148810456444E-2</v>
      </c>
      <c r="Q62" s="66">
        <v>0.11501925861305022</v>
      </c>
    </row>
    <row r="63" spans="1:17" x14ac:dyDescent="0.25">
      <c r="A63">
        <v>2023</v>
      </c>
      <c r="B63" s="69">
        <v>3</v>
      </c>
      <c r="C63" s="66">
        <v>-0.40975499974789048</v>
      </c>
      <c r="D63" s="66">
        <v>2.7824022261661012</v>
      </c>
      <c r="E63" s="66">
        <v>-3.1921572259139923</v>
      </c>
      <c r="G63">
        <v>2023</v>
      </c>
      <c r="H63" s="69">
        <v>3</v>
      </c>
      <c r="I63" s="66">
        <v>-160.26152992475892</v>
      </c>
      <c r="J63" s="66">
        <v>-1328.3411021864779</v>
      </c>
      <c r="M63">
        <v>2023</v>
      </c>
      <c r="N63" s="69">
        <v>4</v>
      </c>
      <c r="O63" s="66">
        <v>-4.1102042383892867E-2</v>
      </c>
      <c r="P63" s="66">
        <v>0.28220202862100341</v>
      </c>
      <c r="Q63" s="66">
        <v>-0.32330407100489628</v>
      </c>
    </row>
    <row r="64" spans="1:17" x14ac:dyDescent="0.25">
      <c r="A64">
        <v>2023</v>
      </c>
      <c r="B64" s="69">
        <v>2</v>
      </c>
      <c r="C64" s="66">
        <v>-0.41536380776118564</v>
      </c>
      <c r="D64" s="66">
        <v>2.8536191798609205</v>
      </c>
      <c r="E64" s="66">
        <v>-3.2689829876221066</v>
      </c>
      <c r="G64">
        <v>2023</v>
      </c>
      <c r="H64" s="69">
        <v>2</v>
      </c>
      <c r="I64" s="66">
        <v>-159.05804132190755</v>
      </c>
      <c r="J64" s="66">
        <v>-1353.8257223770315</v>
      </c>
      <c r="M64">
        <v>2023</v>
      </c>
      <c r="N64" s="69">
        <v>3</v>
      </c>
      <c r="O64" s="66">
        <v>-0.21325001931113741</v>
      </c>
      <c r="P64" s="66">
        <v>0.1959680360061698</v>
      </c>
      <c r="Q64" s="66">
        <v>-0.40921805531730715</v>
      </c>
    </row>
    <row r="65" spans="1:17" x14ac:dyDescent="0.25">
      <c r="A65">
        <v>2023</v>
      </c>
      <c r="B65" s="69">
        <v>1</v>
      </c>
      <c r="C65" s="66">
        <v>-0.22049397548878955</v>
      </c>
      <c r="D65" s="66">
        <v>2.9236672216884205</v>
      </c>
      <c r="E65" s="66">
        <v>-3.1441611971772101</v>
      </c>
      <c r="G65">
        <v>2023</v>
      </c>
      <c r="H65" s="69">
        <v>1</v>
      </c>
      <c r="I65" s="66">
        <v>-75.465664395214375</v>
      </c>
      <c r="J65" s="66">
        <v>-1297.9078327220973</v>
      </c>
      <c r="M65">
        <v>2023</v>
      </c>
      <c r="N65" s="69">
        <v>2</v>
      </c>
      <c r="O65" s="66">
        <v>-0.15711927086683355</v>
      </c>
      <c r="P65" s="66">
        <v>0.170380479573709</v>
      </c>
      <c r="Q65" s="66">
        <v>-0.32749975044054253</v>
      </c>
    </row>
    <row r="66" spans="1:17" x14ac:dyDescent="0.25">
      <c r="A66">
        <v>2024</v>
      </c>
      <c r="B66" s="69">
        <v>4</v>
      </c>
      <c r="C66" s="66">
        <v>-1.1089414274284839</v>
      </c>
      <c r="D66" s="66">
        <v>2.2543213289663862</v>
      </c>
      <c r="E66" s="66">
        <v>-3.36326275639487</v>
      </c>
      <c r="G66">
        <v>2024</v>
      </c>
      <c r="H66" s="69">
        <v>4</v>
      </c>
      <c r="I66" s="66">
        <v>-476.3871400632197</v>
      </c>
      <c r="J66" s="66">
        <v>-1453.7653154781431</v>
      </c>
      <c r="M66">
        <v>2023</v>
      </c>
      <c r="N66" s="69">
        <v>1</v>
      </c>
      <c r="O66" s="66">
        <v>1.9119619694487815E-2</v>
      </c>
      <c r="P66" s="66">
        <v>0.11463786771487518</v>
      </c>
      <c r="Q66" s="66">
        <v>-9.5518248020387372E-2</v>
      </c>
    </row>
    <row r="67" spans="1:17" x14ac:dyDescent="0.25">
      <c r="A67">
        <v>2024</v>
      </c>
      <c r="B67" s="69">
        <v>3</v>
      </c>
      <c r="C67" s="66">
        <v>-1.4843343841464929</v>
      </c>
      <c r="D67" s="66">
        <v>2.3541628565130659</v>
      </c>
      <c r="E67" s="66">
        <v>-3.8384972406595592</v>
      </c>
      <c r="G67">
        <v>2024</v>
      </c>
      <c r="H67" s="69">
        <v>3</v>
      </c>
      <c r="I67" s="66">
        <v>-646.12271358222824</v>
      </c>
      <c r="J67" s="66">
        <v>-1664.3768342984815</v>
      </c>
      <c r="M67">
        <v>2024</v>
      </c>
      <c r="N67" s="69">
        <v>4</v>
      </c>
      <c r="O67" s="66">
        <v>0.33429091433411612</v>
      </c>
      <c r="P67" s="66">
        <v>0.18236050107432311</v>
      </c>
      <c r="Q67" s="66">
        <v>0.15193041325979301</v>
      </c>
    </row>
    <row r="68" spans="1:17" x14ac:dyDescent="0.25">
      <c r="A68">
        <v>2024</v>
      </c>
      <c r="B68" s="69">
        <v>2</v>
      </c>
      <c r="C68" s="66">
        <v>-1.1918690971977328</v>
      </c>
      <c r="D68" s="66">
        <v>2.4106150431133573</v>
      </c>
      <c r="E68" s="66">
        <v>-3.6024841403110903</v>
      </c>
      <c r="G68">
        <v>2024</v>
      </c>
      <c r="H68" s="69">
        <v>2</v>
      </c>
      <c r="I68" s="66">
        <v>-507.11785938269333</v>
      </c>
      <c r="J68" s="66">
        <v>-1547.0116491995877</v>
      </c>
      <c r="M68">
        <v>2024</v>
      </c>
      <c r="N68" s="69">
        <v>3</v>
      </c>
      <c r="O68" s="66">
        <v>-0.50571530625989758</v>
      </c>
      <c r="P68" s="66">
        <v>0.13951584940587855</v>
      </c>
      <c r="Q68" s="66">
        <v>-0.64523115566577627</v>
      </c>
    </row>
    <row r="69" spans="1:17" x14ac:dyDescent="0.25">
      <c r="A69">
        <v>2024</v>
      </c>
      <c r="B69" s="69">
        <v>1</v>
      </c>
      <c r="C69" s="66">
        <v>-1.1729685644819559</v>
      </c>
      <c r="D69" s="66">
        <v>2.5260071583581332</v>
      </c>
      <c r="E69" s="66">
        <v>-3.6989757228400886</v>
      </c>
      <c r="G69">
        <v>2024</v>
      </c>
      <c r="H69" s="69">
        <v>1</v>
      </c>
      <c r="I69" s="66">
        <v>-493.62378270876468</v>
      </c>
      <c r="J69" s="66">
        <v>-1581.5799322938935</v>
      </c>
      <c r="M69">
        <v>2024</v>
      </c>
      <c r="N69" s="69">
        <v>2</v>
      </c>
      <c r="O69" s="66">
        <v>-0.17601980358261041</v>
      </c>
      <c r="P69" s="66">
        <v>5.4988364328933684E-2</v>
      </c>
      <c r="Q69" s="66">
        <v>-0.23100816791154408</v>
      </c>
    </row>
    <row r="70" spans="1:17" x14ac:dyDescent="0.25">
      <c r="A70">
        <v>2025</v>
      </c>
      <c r="B70" s="69">
        <v>4</v>
      </c>
      <c r="C70" s="66">
        <v>-0.58226592341408456</v>
      </c>
      <c r="D70" s="66">
        <v>2.0734532464315869</v>
      </c>
      <c r="E70" s="66">
        <v>-2.6557191698456712</v>
      </c>
      <c r="G70">
        <v>2025</v>
      </c>
      <c r="H70" s="69">
        <v>4</v>
      </c>
      <c r="I70" s="66">
        <v>-244.26290338704808</v>
      </c>
      <c r="J70" s="66">
        <v>-1163.443329895319</v>
      </c>
      <c r="M70">
        <v>2024</v>
      </c>
      <c r="N70" s="69">
        <v>1</v>
      </c>
      <c r="O70" s="66">
        <v>0.29822753505883143</v>
      </c>
      <c r="P70" s="66">
        <v>1.102060106613632E-2</v>
      </c>
      <c r="Q70" s="66">
        <v>0.28720693399269515</v>
      </c>
    </row>
    <row r="71" spans="1:17" x14ac:dyDescent="0.25">
      <c r="A71">
        <v>2025</v>
      </c>
      <c r="B71" s="69">
        <v>3</v>
      </c>
      <c r="C71" s="66">
        <v>-0.57271662055155192</v>
      </c>
      <c r="D71" s="66">
        <v>2.1682199516875498</v>
      </c>
      <c r="E71" s="66">
        <v>-2.7409365722391015</v>
      </c>
      <c r="G71">
        <v>2025</v>
      </c>
      <c r="H71" s="69">
        <v>3</v>
      </c>
      <c r="I71" s="66">
        <v>-240.14542732482988</v>
      </c>
      <c r="J71" s="66">
        <v>-1202.2798201641913</v>
      </c>
      <c r="M71">
        <v>2025</v>
      </c>
      <c r="N71" s="69">
        <v>4</v>
      </c>
      <c r="O71" s="66">
        <v>0.32474161147158359</v>
      </c>
      <c r="P71" s="66">
        <v>8.759379581836009E-2</v>
      </c>
      <c r="Q71" s="66">
        <v>0.23714781565322349</v>
      </c>
    </row>
    <row r="72" spans="1:17" x14ac:dyDescent="0.25">
      <c r="A72">
        <v>2025</v>
      </c>
      <c r="B72" s="69">
        <v>2</v>
      </c>
      <c r="C72" s="66">
        <v>-0.80577826890965065</v>
      </c>
      <c r="D72" s="66">
        <v>2.1796594717500186</v>
      </c>
      <c r="E72" s="66">
        <v>-2.9854377406596688</v>
      </c>
      <c r="G72">
        <v>2025</v>
      </c>
      <c r="H72" s="69">
        <v>2</v>
      </c>
      <c r="I72" s="66">
        <v>-347.82852692820677</v>
      </c>
      <c r="J72" s="66">
        <v>-1315.5143747453947</v>
      </c>
      <c r="M72">
        <v>2025</v>
      </c>
      <c r="N72" s="69">
        <v>3</v>
      </c>
      <c r="O72" s="66">
        <v>-0.27265365790179885</v>
      </c>
      <c r="P72" s="66">
        <v>0.12807632934341009</v>
      </c>
      <c r="Q72" s="66">
        <v>-0.40072998724520897</v>
      </c>
    </row>
    <row r="73" spans="1:17" x14ac:dyDescent="0.25">
      <c r="A73">
        <v>2025</v>
      </c>
      <c r="B73" s="69">
        <v>1</v>
      </c>
      <c r="C73" s="66">
        <v>-0.91790316604245992</v>
      </c>
      <c r="D73" s="66">
        <v>1.9851677373957455</v>
      </c>
      <c r="E73" s="66">
        <v>-2.9030709034382052</v>
      </c>
      <c r="G73">
        <v>2025</v>
      </c>
      <c r="H73" s="69">
        <v>1</v>
      </c>
      <c r="I73" s="66">
        <v>-399.59766066073098</v>
      </c>
      <c r="J73" s="66">
        <v>-1277.695928053075</v>
      </c>
      <c r="M73">
        <v>2025</v>
      </c>
      <c r="N73" s="69">
        <v>2</v>
      </c>
      <c r="O73" s="66">
        <v>-6.3894906449801114E-2</v>
      </c>
      <c r="P73" s="66">
        <v>0.24948009868320664</v>
      </c>
      <c r="Q73" s="66">
        <v>-0.3133750051330077</v>
      </c>
    </row>
    <row r="74" spans="1:17" x14ac:dyDescent="0.25">
      <c r="M74">
        <v>2025</v>
      </c>
      <c r="N74" s="69">
        <v>1</v>
      </c>
      <c r="O74" s="66">
        <v>4.1375294312542499E-2</v>
      </c>
      <c r="P74" s="66">
        <v>0.10442266735105346</v>
      </c>
      <c r="Q74" s="66">
        <v>-6.3047373038510948E-2</v>
      </c>
    </row>
    <row r="137" spans="1:22" x14ac:dyDescent="0.25">
      <c r="A137" s="67" t="s">
        <v>67</v>
      </c>
      <c r="B137" t="s">
        <v>212</v>
      </c>
      <c r="F137" s="67" t="s">
        <v>67</v>
      </c>
      <c r="G137" t="s">
        <v>212</v>
      </c>
    </row>
    <row r="139" spans="1:22" x14ac:dyDescent="0.25">
      <c r="A139" s="67" t="s">
        <v>68</v>
      </c>
      <c r="B139" s="67" t="s">
        <v>97</v>
      </c>
      <c r="C139" t="s">
        <v>207</v>
      </c>
      <c r="D139" t="s">
        <v>210</v>
      </c>
      <c r="F139" s="67" t="s">
        <v>68</v>
      </c>
      <c r="G139" s="67" t="s">
        <v>97</v>
      </c>
      <c r="H139" t="s">
        <v>108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4</v>
      </c>
      <c r="C140" s="66">
        <v>958.70660515170403</v>
      </c>
      <c r="D140" s="66">
        <v>1200.7297768775879</v>
      </c>
      <c r="F140">
        <v>2021</v>
      </c>
      <c r="G140" s="69">
        <v>4</v>
      </c>
      <c r="H140" s="66">
        <v>8208.1988158235963</v>
      </c>
    </row>
    <row r="141" spans="1:22" x14ac:dyDescent="0.25">
      <c r="A141">
        <v>2021</v>
      </c>
      <c r="B141" s="69">
        <v>3</v>
      </c>
      <c r="C141" s="66">
        <v>974.82052520880688</v>
      </c>
      <c r="D141" s="66">
        <v>1207.5274526769026</v>
      </c>
      <c r="F141">
        <v>2021</v>
      </c>
      <c r="G141" s="69">
        <v>3</v>
      </c>
      <c r="H141" s="66">
        <v>8261.3267275145972</v>
      </c>
    </row>
    <row r="142" spans="1:22" x14ac:dyDescent="0.25">
      <c r="A142">
        <v>2021</v>
      </c>
      <c r="B142" s="69">
        <v>2</v>
      </c>
      <c r="C142" s="66">
        <v>1053.1322847108793</v>
      </c>
      <c r="D142" s="66">
        <v>1288.8053308683336</v>
      </c>
      <c r="F142">
        <v>2021</v>
      </c>
      <c r="G142" s="69">
        <v>2</v>
      </c>
      <c r="H142" s="66">
        <v>8798.9637149388673</v>
      </c>
    </row>
    <row r="143" spans="1:22" x14ac:dyDescent="0.25">
      <c r="A143">
        <v>2021</v>
      </c>
      <c r="B143" s="69">
        <v>1</v>
      </c>
      <c r="C143" s="66">
        <v>1059.6970639411622</v>
      </c>
      <c r="D143" s="66">
        <v>1301.1761702428826</v>
      </c>
      <c r="F143">
        <v>2021</v>
      </c>
      <c r="G143" s="69">
        <v>1</v>
      </c>
      <c r="H143" s="66">
        <v>8871.9328203418663</v>
      </c>
    </row>
    <row r="144" spans="1:22" x14ac:dyDescent="0.25">
      <c r="A144">
        <v>2022</v>
      </c>
      <c r="B144" s="69">
        <v>4</v>
      </c>
      <c r="C144" s="66">
        <v>945.25283935296432</v>
      </c>
      <c r="D144" s="66">
        <v>1226.6641085274655</v>
      </c>
      <c r="F144">
        <v>2022</v>
      </c>
      <c r="G144" s="69">
        <v>4</v>
      </c>
      <c r="H144" s="66">
        <v>8420.633531342999</v>
      </c>
    </row>
    <row r="145" spans="1:8" x14ac:dyDescent="0.25">
      <c r="A145">
        <v>2022</v>
      </c>
      <c r="B145" s="69">
        <v>3</v>
      </c>
      <c r="C145" s="66">
        <v>950.81820990499682</v>
      </c>
      <c r="D145" s="66">
        <v>1223.1532455670572</v>
      </c>
      <c r="F145">
        <v>2022</v>
      </c>
      <c r="G145" s="69">
        <v>3</v>
      </c>
      <c r="H145" s="66">
        <v>8357.2040744119986</v>
      </c>
    </row>
    <row r="146" spans="1:8" x14ac:dyDescent="0.25">
      <c r="A146">
        <v>2022</v>
      </c>
      <c r="B146" s="69">
        <v>2</v>
      </c>
      <c r="C146" s="66">
        <v>926.41725765913588</v>
      </c>
      <c r="D146" s="66">
        <v>1194.7467412946628</v>
      </c>
      <c r="F146">
        <v>2022</v>
      </c>
      <c r="G146" s="69">
        <v>2</v>
      </c>
      <c r="H146" s="66">
        <v>8123.8609302329996</v>
      </c>
    </row>
    <row r="147" spans="1:8" x14ac:dyDescent="0.25">
      <c r="A147">
        <v>2022</v>
      </c>
      <c r="B147" s="69">
        <v>1</v>
      </c>
      <c r="C147" s="66">
        <v>862.98822388852909</v>
      </c>
      <c r="D147" s="66">
        <v>1131.8475975359106</v>
      </c>
      <c r="F147">
        <v>2022</v>
      </c>
      <c r="G147" s="69">
        <v>1</v>
      </c>
      <c r="H147" s="66">
        <v>7676.4114603399994</v>
      </c>
    </row>
    <row r="148" spans="1:8" x14ac:dyDescent="0.25">
      <c r="A148">
        <v>2023</v>
      </c>
      <c r="B148" s="69">
        <v>4</v>
      </c>
      <c r="C148" s="66">
        <v>849.77867212354715</v>
      </c>
      <c r="D148" s="66">
        <v>1198.970659013346</v>
      </c>
      <c r="F148">
        <v>2023</v>
      </c>
      <c r="G148" s="69">
        <v>4</v>
      </c>
      <c r="H148" s="66">
        <v>8504.9420276649726</v>
      </c>
    </row>
    <row r="149" spans="1:8" x14ac:dyDescent="0.25">
      <c r="A149">
        <v>2023</v>
      </c>
      <c r="B149" s="69">
        <v>3</v>
      </c>
      <c r="C149" s="66">
        <v>802.24414003294692</v>
      </c>
      <c r="D149" s="66">
        <v>1168.079572261719</v>
      </c>
      <c r="F149">
        <v>2023</v>
      </c>
      <c r="G149" s="69">
        <v>3</v>
      </c>
      <c r="H149" s="66">
        <v>8253.577307148973</v>
      </c>
    </row>
    <row r="150" spans="1:8" x14ac:dyDescent="0.25">
      <c r="A150">
        <v>2023</v>
      </c>
      <c r="B150" s="69">
        <v>2</v>
      </c>
      <c r="C150" s="66">
        <v>826.45494089268846</v>
      </c>
      <c r="D150" s="66">
        <v>1194.7676810551238</v>
      </c>
      <c r="F150">
        <v>2023</v>
      </c>
      <c r="G150" s="69">
        <v>2</v>
      </c>
      <c r="H150" s="66">
        <v>8420.3949454869726</v>
      </c>
    </row>
    <row r="151" spans="1:8" x14ac:dyDescent="0.25">
      <c r="A151">
        <v>2023</v>
      </c>
      <c r="B151" s="69">
        <v>1</v>
      </c>
      <c r="C151" s="66">
        <v>855.27072588603892</v>
      </c>
      <c r="D151" s="66">
        <v>1222.4421683268827</v>
      </c>
      <c r="F151">
        <v>2023</v>
      </c>
      <c r="G151" s="69">
        <v>1</v>
      </c>
      <c r="H151" s="66">
        <v>8589.2474462449736</v>
      </c>
    </row>
    <row r="152" spans="1:8" x14ac:dyDescent="0.25">
      <c r="A152">
        <v>2024</v>
      </c>
      <c r="B152" s="69">
        <v>4</v>
      </c>
      <c r="C152" s="66">
        <v>754.93903777228297</v>
      </c>
      <c r="D152" s="66">
        <v>977.37817541492325</v>
      </c>
      <c r="F152">
        <v>2024</v>
      </c>
      <c r="G152" s="69">
        <v>4</v>
      </c>
      <c r="H152" s="66">
        <v>7169.610256986999</v>
      </c>
    </row>
    <row r="153" spans="1:8" x14ac:dyDescent="0.25">
      <c r="A153">
        <v>2024</v>
      </c>
      <c r="B153" s="69">
        <v>3</v>
      </c>
      <c r="C153" s="66">
        <v>800.43907243447779</v>
      </c>
      <c r="D153" s="66">
        <v>1018.2541207162531</v>
      </c>
      <c r="F153">
        <v>2024</v>
      </c>
      <c r="G153" s="69">
        <v>3</v>
      </c>
      <c r="H153" s="66">
        <v>7443.5804879140005</v>
      </c>
    </row>
    <row r="154" spans="1:8" x14ac:dyDescent="0.25">
      <c r="A154">
        <v>2024</v>
      </c>
      <c r="B154" s="69">
        <v>2</v>
      </c>
      <c r="C154" s="66">
        <v>818.99254791984254</v>
      </c>
      <c r="D154" s="66">
        <v>1039.8937898168945</v>
      </c>
      <c r="F154">
        <v>2024</v>
      </c>
      <c r="G154" s="69">
        <v>2</v>
      </c>
      <c r="H154" s="66">
        <v>7590.5398619670004</v>
      </c>
    </row>
    <row r="155" spans="1:8" x14ac:dyDescent="0.25">
      <c r="A155">
        <v>2024</v>
      </c>
      <c r="B155" s="69">
        <v>1</v>
      </c>
      <c r="C155" s="66">
        <v>867.89565939354156</v>
      </c>
      <c r="D155" s="66">
        <v>1087.9561495851285</v>
      </c>
      <c r="F155">
        <v>2024</v>
      </c>
      <c r="G155" s="69">
        <v>1</v>
      </c>
      <c r="H155" s="66">
        <v>7941.1911932939993</v>
      </c>
    </row>
    <row r="156" spans="1:8" x14ac:dyDescent="0.25">
      <c r="A156">
        <v>2025</v>
      </c>
      <c r="B156" s="69">
        <v>4</v>
      </c>
      <c r="C156" s="66">
        <v>580.65621513638291</v>
      </c>
      <c r="D156" s="66">
        <v>919.18042650827113</v>
      </c>
      <c r="F156">
        <v>2025</v>
      </c>
      <c r="G156" s="69">
        <v>4</v>
      </c>
      <c r="H156" s="66">
        <v>7127.4810189169993</v>
      </c>
    </row>
    <row r="157" spans="1:8" x14ac:dyDescent="0.25">
      <c r="A157">
        <v>2025</v>
      </c>
      <c r="B157" s="69">
        <v>3</v>
      </c>
      <c r="C157" s="66">
        <v>615.4810403411833</v>
      </c>
      <c r="D157" s="66">
        <v>962.13439283936134</v>
      </c>
      <c r="F157">
        <v>2025</v>
      </c>
      <c r="G157" s="69">
        <v>3</v>
      </c>
      <c r="H157" s="66">
        <v>7421.6598244399993</v>
      </c>
    </row>
    <row r="158" spans="1:8" x14ac:dyDescent="0.25">
      <c r="A158">
        <v>2025</v>
      </c>
      <c r="B158" s="69">
        <v>2</v>
      </c>
      <c r="C158" s="66">
        <v>627.79270162185139</v>
      </c>
      <c r="D158" s="66">
        <v>967.68584781718789</v>
      </c>
      <c r="F158">
        <v>2025</v>
      </c>
      <c r="G158" s="69">
        <v>2</v>
      </c>
      <c r="H158" s="66">
        <v>7424.5123064859999</v>
      </c>
    </row>
    <row r="159" spans="1:8" x14ac:dyDescent="0.25">
      <c r="A159">
        <v>2025</v>
      </c>
      <c r="B159" s="69">
        <v>1</v>
      </c>
      <c r="C159" s="66">
        <v>592.95894562637079</v>
      </c>
      <c r="D159" s="66">
        <v>878.09826739234381</v>
      </c>
      <c r="F159">
        <v>2025</v>
      </c>
      <c r="G159" s="69">
        <v>1</v>
      </c>
      <c r="H159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2"/>
  <drawing r:id="rId13"/>
  <legacyDrawing r:id="rId14"/>
  <extLst>
    <ext xmlns:x14="http://schemas.microsoft.com/office/spreadsheetml/2009/9/main" uri="{A8765BA9-456A-4dab-B4F3-ACF838C121DE}">
      <x14:slicerList>
        <x14:slicer r:id="rId1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IZ2" activePane="bottomRight" state="frozen"/>
      <selection activeCell="X16" sqref="X16"/>
      <selection pane="topRight" activeCell="X16" sqref="X16"/>
      <selection pane="bottomLeft" activeCell="X16" sqref="X16"/>
      <selection pane="bottomRight" activeCell="X16" sqref="X16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77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4">
        <v>3031.1812216020003</v>
      </c>
      <c r="HK2" s="164">
        <v>2856.3704587440006</v>
      </c>
      <c r="HL2" s="164">
        <v>2735.6458230509998</v>
      </c>
      <c r="HM2" s="164">
        <v>3134.8791800020003</v>
      </c>
      <c r="HN2" s="164">
        <v>3252.6626903280007</v>
      </c>
      <c r="HO2" s="164">
        <v>2887.502883445</v>
      </c>
      <c r="HP2" s="164">
        <v>3169.6429617189997</v>
      </c>
      <c r="HQ2" s="164">
        <v>2648.102358742</v>
      </c>
      <c r="HR2" s="164">
        <v>3315.3288757459995</v>
      </c>
      <c r="HS2" s="164">
        <v>2947.8375198389999</v>
      </c>
      <c r="HT2" s="164">
        <v>3559.3927853899995</v>
      </c>
      <c r="HU2" s="164">
        <v>3563.3916745649999</v>
      </c>
      <c r="HV2" s="164">
        <v>2954.8262798930004</v>
      </c>
      <c r="HW2" s="164">
        <v>3019.0414647440002</v>
      </c>
      <c r="HX2" s="164">
        <v>3265.4024512279998</v>
      </c>
      <c r="HY2" s="164">
        <v>3956.124359425</v>
      </c>
      <c r="HZ2" s="164">
        <v>4099.3208053459994</v>
      </c>
      <c r="IA2" s="164">
        <v>3002.8473109559995</v>
      </c>
      <c r="IB2" s="164">
        <v>3632.1605173959997</v>
      </c>
      <c r="IC2" s="164">
        <v>3020.259187141</v>
      </c>
      <c r="ID2" s="164">
        <v>3842.1276175130001</v>
      </c>
      <c r="IE2" s="164">
        <v>3066.8265546620005</v>
      </c>
      <c r="IF2" s="164">
        <v>3775.9355499580001</v>
      </c>
      <c r="IG2" s="164">
        <v>3486.9852153719994</v>
      </c>
      <c r="IH2" s="164">
        <v>3160.2397387120004</v>
      </c>
      <c r="II2" s="164">
        <v>2725.3689210520001</v>
      </c>
      <c r="IJ2" s="164">
        <v>3663.6910619100004</v>
      </c>
      <c r="IK2" s="164">
        <v>3757.1571939859996</v>
      </c>
      <c r="IL2" s="164">
        <v>4261.0299709129995</v>
      </c>
      <c r="IM2" s="164">
        <v>3561.1343769650002</v>
      </c>
      <c r="IN2" s="164">
        <v>4099.5153899520001</v>
      </c>
      <c r="IO2" s="164">
        <v>3355.974272125</v>
      </c>
      <c r="IP2" s="164">
        <v>3923.9104503730005</v>
      </c>
      <c r="IQ2" s="164">
        <v>3443.18931028</v>
      </c>
      <c r="IR2" s="164">
        <v>3941.2542054360001</v>
      </c>
      <c r="IS2" s="164">
        <v>4049.554153309</v>
      </c>
      <c r="IT2" s="159">
        <v>3804.6259361790007</v>
      </c>
      <c r="IU2" s="159">
        <v>3209.7257207530001</v>
      </c>
      <c r="IV2" s="159">
        <v>3438.5597139500001</v>
      </c>
      <c r="IW2" s="159">
        <v>5280.9667066130005</v>
      </c>
      <c r="IX2" s="159">
        <v>5401.0182893279998</v>
      </c>
      <c r="IY2" s="159">
        <v>4396.6861224169998</v>
      </c>
      <c r="IZ2" s="159">
        <v>4743.8921766940002</v>
      </c>
      <c r="JA2" s="159">
        <v>3531.4488884879997</v>
      </c>
      <c r="JB2" s="159">
        <v>4370.9542382060008</v>
      </c>
      <c r="JC2" s="159">
        <v>3977.2279507849989</v>
      </c>
      <c r="JD2" s="159">
        <v>4457.9907691799999</v>
      </c>
      <c r="JE2" s="159">
        <v>4269.2672736470004</v>
      </c>
      <c r="JF2" s="159">
        <v>4124.7435304300006</v>
      </c>
      <c r="JG2" s="159">
        <v>3851.9921639730001</v>
      </c>
      <c r="JH2" s="159">
        <v>4027.712574317</v>
      </c>
      <c r="JI2" s="159">
        <v>5200.3202970900002</v>
      </c>
      <c r="JJ2" s="159"/>
      <c r="JK2" s="159"/>
      <c r="JL2" s="159"/>
      <c r="JM2" s="159"/>
      <c r="JN2" s="159"/>
      <c r="JO2" s="159"/>
      <c r="JP2" s="159"/>
      <c r="JQ2" s="159"/>
    </row>
    <row r="3" spans="1:277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59"/>
      <c r="IU3" s="159"/>
      <c r="IV3" s="159"/>
      <c r="IW3" s="159"/>
      <c r="IX3" s="159"/>
      <c r="IY3" s="159"/>
      <c r="IZ3" s="159"/>
      <c r="JA3" s="159"/>
      <c r="JB3" s="159"/>
      <c r="JC3" s="159"/>
      <c r="JD3" s="159"/>
      <c r="JE3" s="159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</row>
    <row r="4" spans="1:277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5">
        <v>2015.4835425760002</v>
      </c>
      <c r="HK4" s="165">
        <v>1715.8009040940003</v>
      </c>
      <c r="HL4" s="165">
        <v>1961.1025373499999</v>
      </c>
      <c r="HM4" s="165">
        <v>2376.4182955290003</v>
      </c>
      <c r="HN4" s="165">
        <v>2580.4311053190004</v>
      </c>
      <c r="HO4" s="165">
        <v>1861.138448254</v>
      </c>
      <c r="HP4" s="165">
        <v>2419.9808894689995</v>
      </c>
      <c r="HQ4" s="165">
        <v>1933.2349474300004</v>
      </c>
      <c r="HR4" s="165">
        <v>2528.8351176839997</v>
      </c>
      <c r="HS4" s="165">
        <v>2167.0619417789999</v>
      </c>
      <c r="HT4" s="165">
        <v>2678.8939097809998</v>
      </c>
      <c r="HU4" s="165">
        <v>2170.8782761369998</v>
      </c>
      <c r="HV4" s="165">
        <v>2288.5460974770003</v>
      </c>
      <c r="HW4" s="165">
        <v>1893.3392896509999</v>
      </c>
      <c r="HX4" s="165">
        <v>2252.6018098459999</v>
      </c>
      <c r="HY4" s="165">
        <v>3116.3321059039999</v>
      </c>
      <c r="HZ4" s="165">
        <v>3241.9092968249997</v>
      </c>
      <c r="IA4" s="165">
        <v>2168.7629193399998</v>
      </c>
      <c r="IB4" s="165">
        <v>2830.2325402469996</v>
      </c>
      <c r="IC4" s="165">
        <v>2170.8190062859999</v>
      </c>
      <c r="ID4" s="165">
        <v>2906.530687337</v>
      </c>
      <c r="IE4" s="165">
        <v>2085.8314743590004</v>
      </c>
      <c r="IF4" s="165">
        <v>2798.0153501540003</v>
      </c>
      <c r="IG4" s="165">
        <v>2208.6963590349997</v>
      </c>
      <c r="IH4" s="165">
        <v>2313.7939413660006</v>
      </c>
      <c r="II4" s="165">
        <v>1882.3280705669999</v>
      </c>
      <c r="IJ4" s="165">
        <v>2541.6816199550003</v>
      </c>
      <c r="IK4" s="165">
        <v>2929.0321687449996</v>
      </c>
      <c r="IL4" s="165">
        <v>3323.9881686999997</v>
      </c>
      <c r="IM4" s="165">
        <v>2437.9879743860001</v>
      </c>
      <c r="IN4" s="165">
        <v>2962.2021577759997</v>
      </c>
      <c r="IO4" s="165">
        <v>2441.3896434349999</v>
      </c>
      <c r="IP4" s="165">
        <v>2996.6677465180005</v>
      </c>
      <c r="IQ4" s="165">
        <v>2436.6934816090002</v>
      </c>
      <c r="IR4" s="165">
        <v>2988.6901219080005</v>
      </c>
      <c r="IS4" s="165">
        <v>2495.1373023790002</v>
      </c>
      <c r="IT4" s="160">
        <v>2901.7446344780005</v>
      </c>
      <c r="IU4" s="160">
        <v>2370.0602069780002</v>
      </c>
      <c r="IV4" s="160">
        <v>2680.8021049700001</v>
      </c>
      <c r="IW4" s="160">
        <v>4063.1005273820001</v>
      </c>
      <c r="IX4" s="160">
        <v>4387.6120386270004</v>
      </c>
      <c r="IY4" s="160">
        <v>2655.7522247849997</v>
      </c>
      <c r="IZ4" s="160">
        <v>3659.0060726440001</v>
      </c>
      <c r="JA4" s="160">
        <v>2638.0364757970001</v>
      </c>
      <c r="JB4" s="160">
        <v>3460.8805431460005</v>
      </c>
      <c r="JC4" s="160">
        <v>2938.4860406579992</v>
      </c>
      <c r="JD4" s="160">
        <v>3554.6955079149998</v>
      </c>
      <c r="JE4" s="160">
        <v>2899.823222813</v>
      </c>
      <c r="JF4" s="160">
        <v>3170.3205065040006</v>
      </c>
      <c r="JG4" s="160">
        <v>2713.4203845080001</v>
      </c>
      <c r="JH4" s="160">
        <v>3061.0368464620001</v>
      </c>
      <c r="JI4" s="160">
        <v>4334.1679977599997</v>
      </c>
      <c r="JJ4" s="160"/>
      <c r="JK4" s="160"/>
      <c r="JL4" s="160"/>
      <c r="JM4" s="160"/>
      <c r="JN4" s="160"/>
      <c r="JO4" s="160"/>
      <c r="JP4" s="160"/>
      <c r="JQ4" s="160"/>
    </row>
    <row r="5" spans="1:277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4">
        <v>472.89075626299996</v>
      </c>
      <c r="HK5" s="164">
        <v>266.53974023200004</v>
      </c>
      <c r="HL5" s="164">
        <v>469.329252838</v>
      </c>
      <c r="HM5" s="164">
        <v>913.20803721200002</v>
      </c>
      <c r="HN5" s="164">
        <v>1114.8242465339999</v>
      </c>
      <c r="HO5" s="164">
        <v>383.53446907399996</v>
      </c>
      <c r="HP5" s="164">
        <v>809.31364049499985</v>
      </c>
      <c r="HQ5" s="164">
        <v>307.43636395700003</v>
      </c>
      <c r="HR5" s="164">
        <v>795.350050872</v>
      </c>
      <c r="HS5" s="164">
        <v>307.77796732899992</v>
      </c>
      <c r="HT5" s="164">
        <v>813.58659574299998</v>
      </c>
      <c r="HU5" s="164">
        <v>280.19934879700003</v>
      </c>
      <c r="HV5" s="164">
        <v>421.10484759400009</v>
      </c>
      <c r="HW5" s="164">
        <v>227.28879016300002</v>
      </c>
      <c r="HX5" s="164">
        <v>613.45548681000002</v>
      </c>
      <c r="HY5" s="164">
        <v>1408.93740981</v>
      </c>
      <c r="HZ5" s="164">
        <v>1595.1974563019996</v>
      </c>
      <c r="IA5" s="164">
        <v>443.29118539000001</v>
      </c>
      <c r="IB5" s="164">
        <v>1082.4033166279999</v>
      </c>
      <c r="IC5" s="164">
        <v>351.02799111000002</v>
      </c>
      <c r="ID5" s="164">
        <v>994.23640475900004</v>
      </c>
      <c r="IE5" s="164">
        <v>326.64276474000002</v>
      </c>
      <c r="IF5" s="164">
        <v>948.24027034599999</v>
      </c>
      <c r="IG5" s="164">
        <v>341.64471045499994</v>
      </c>
      <c r="IH5" s="164">
        <v>443.41364999199999</v>
      </c>
      <c r="II5" s="164">
        <v>239.05389825099999</v>
      </c>
      <c r="IJ5" s="164">
        <v>616.86139367300007</v>
      </c>
      <c r="IK5" s="164">
        <v>1142.2742217569999</v>
      </c>
      <c r="IL5" s="164">
        <v>1436.5421626030002</v>
      </c>
      <c r="IM5" s="164">
        <v>432.07030338499999</v>
      </c>
      <c r="IN5" s="164">
        <v>965.57501229900004</v>
      </c>
      <c r="IO5" s="164">
        <v>368.20598567800005</v>
      </c>
      <c r="IP5" s="164">
        <v>957.01207948300009</v>
      </c>
      <c r="IQ5" s="164">
        <v>317.93401691099996</v>
      </c>
      <c r="IR5" s="164">
        <v>893.18741488399996</v>
      </c>
      <c r="IS5" s="164">
        <v>353.06818122300001</v>
      </c>
      <c r="IT5" s="159">
        <v>545.28084978200002</v>
      </c>
      <c r="IU5" s="159">
        <v>313.23559778500004</v>
      </c>
      <c r="IV5" s="159">
        <v>677.62462444999994</v>
      </c>
      <c r="IW5" s="159">
        <v>1832.8138256409998</v>
      </c>
      <c r="IX5" s="159">
        <v>1958.8730648890003</v>
      </c>
      <c r="IY5" s="159">
        <v>471.63238458200004</v>
      </c>
      <c r="IZ5" s="159">
        <v>1216.1492806889999</v>
      </c>
      <c r="JA5" s="159">
        <v>394.11385517100001</v>
      </c>
      <c r="JB5" s="159">
        <v>1167.1231136920001</v>
      </c>
      <c r="JC5" s="159">
        <v>440.56115382600007</v>
      </c>
      <c r="JD5" s="159">
        <v>1165.692943027</v>
      </c>
      <c r="JE5" s="159">
        <v>447.78259708699994</v>
      </c>
      <c r="JF5" s="159">
        <v>546.10059835900006</v>
      </c>
      <c r="JG5" s="159">
        <v>383.76324975800003</v>
      </c>
      <c r="JH5" s="159">
        <v>778.42688769000006</v>
      </c>
      <c r="JI5" s="159">
        <v>42.346402406999999</v>
      </c>
      <c r="JJ5" s="159"/>
      <c r="JK5" s="159"/>
      <c r="JL5" s="159"/>
      <c r="JM5" s="159"/>
      <c r="JN5" s="159"/>
      <c r="JO5" s="159"/>
      <c r="JP5" s="159"/>
      <c r="JQ5" s="159"/>
    </row>
    <row r="6" spans="1:277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4">
        <v>1356.9956900620002</v>
      </c>
      <c r="HK6" s="164">
        <v>1251.3108461020001</v>
      </c>
      <c r="HL6" s="164">
        <v>1281.4301908279999</v>
      </c>
      <c r="HM6" s="164">
        <v>1271.9757611340001</v>
      </c>
      <c r="HN6" s="164">
        <v>1269.6256747280001</v>
      </c>
      <c r="HO6" s="164">
        <v>1268.0554006470002</v>
      </c>
      <c r="HP6" s="164">
        <v>1357.9834007299999</v>
      </c>
      <c r="HQ6" s="164">
        <v>1366.6763983430001</v>
      </c>
      <c r="HR6" s="164">
        <v>1479.3624427309999</v>
      </c>
      <c r="HS6" s="164">
        <v>1561.658949825</v>
      </c>
      <c r="HT6" s="164">
        <v>1562.857707917</v>
      </c>
      <c r="HU6" s="164">
        <v>1588.1180552169999</v>
      </c>
      <c r="HV6" s="164">
        <v>1599.068325299</v>
      </c>
      <c r="HW6" s="164">
        <v>1422.122603303</v>
      </c>
      <c r="HX6" s="164">
        <v>1360.1403967610001</v>
      </c>
      <c r="HY6" s="164">
        <v>1444.7673585490002</v>
      </c>
      <c r="HZ6" s="164">
        <v>1415.1925004310001</v>
      </c>
      <c r="IA6" s="164">
        <v>1465.356413149</v>
      </c>
      <c r="IB6" s="164">
        <v>1477.566144747</v>
      </c>
      <c r="IC6" s="164">
        <v>1511.0941054639998</v>
      </c>
      <c r="ID6" s="164">
        <v>1615.5870194660001</v>
      </c>
      <c r="IE6" s="164">
        <v>1488.2489286340001</v>
      </c>
      <c r="IF6" s="164">
        <v>1528.139667054</v>
      </c>
      <c r="IG6" s="164">
        <v>1559.9788132149999</v>
      </c>
      <c r="IH6" s="164">
        <v>1604.9208873540001</v>
      </c>
      <c r="II6" s="164">
        <v>1385.994563364</v>
      </c>
      <c r="IJ6" s="164">
        <v>1625.9252785580002</v>
      </c>
      <c r="IK6" s="164">
        <v>1547.6262825569997</v>
      </c>
      <c r="IL6" s="164">
        <v>1612.6567632479996</v>
      </c>
      <c r="IM6" s="164">
        <v>1724.8386792380002</v>
      </c>
      <c r="IN6" s="164">
        <v>1707.542749447</v>
      </c>
      <c r="IO6" s="164">
        <v>1763.6092638549999</v>
      </c>
      <c r="IP6" s="164">
        <v>1764.277678745</v>
      </c>
      <c r="IQ6" s="164">
        <v>1782.8872809300001</v>
      </c>
      <c r="IR6" s="164">
        <v>1754.392268008</v>
      </c>
      <c r="IS6" s="164">
        <v>1828.119375792</v>
      </c>
      <c r="IT6" s="159">
        <v>2000.2840759010001</v>
      </c>
      <c r="IU6" s="159">
        <v>1761.557042207</v>
      </c>
      <c r="IV6" s="159">
        <v>1709.5813134720001</v>
      </c>
      <c r="IW6" s="159">
        <v>1878.9974349710001</v>
      </c>
      <c r="IX6" s="159">
        <v>2047.9512028339998</v>
      </c>
      <c r="IY6" s="159">
        <v>1855.2041216919999</v>
      </c>
      <c r="IZ6" s="159">
        <v>2060.4742121450004</v>
      </c>
      <c r="JA6" s="159">
        <v>1869.8297704280001</v>
      </c>
      <c r="JB6" s="159">
        <v>1915.845706073</v>
      </c>
      <c r="JC6" s="159">
        <v>2046.7181769669996</v>
      </c>
      <c r="JD6" s="159">
        <v>1928.519938055</v>
      </c>
      <c r="JE6" s="159">
        <v>2030.785407606</v>
      </c>
      <c r="JF6" s="159">
        <v>2171.529140441</v>
      </c>
      <c r="JG6" s="159">
        <v>1965.2283686779999</v>
      </c>
      <c r="JH6" s="159">
        <v>1891.0422884300001</v>
      </c>
      <c r="JI6" s="159">
        <v>575.259206006</v>
      </c>
      <c r="JJ6" s="159"/>
      <c r="JK6" s="159"/>
      <c r="JL6" s="159"/>
      <c r="JM6" s="159"/>
      <c r="JN6" s="159"/>
      <c r="JO6" s="159"/>
      <c r="JP6" s="159"/>
      <c r="JQ6" s="159"/>
    </row>
    <row r="7" spans="1:277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4">
        <v>1128.4829654300001</v>
      </c>
      <c r="HK7" s="164">
        <v>976.91405022100002</v>
      </c>
      <c r="HL7" s="164">
        <v>1013.9252404040001</v>
      </c>
      <c r="HM7" s="164">
        <v>1068.6852682660001</v>
      </c>
      <c r="HN7" s="164">
        <v>1012.4941253440001</v>
      </c>
      <c r="HO7" s="164">
        <v>1084.4400880300002</v>
      </c>
      <c r="HP7" s="164">
        <v>1134.572321464</v>
      </c>
      <c r="HQ7" s="164">
        <v>1145.479906884</v>
      </c>
      <c r="HR7" s="164">
        <v>1206.7612058939999</v>
      </c>
      <c r="HS7" s="164">
        <v>1263.5937760290001</v>
      </c>
      <c r="HT7" s="164">
        <v>1298.4948146209999</v>
      </c>
      <c r="HU7" s="164">
        <v>1297.5902747499999</v>
      </c>
      <c r="HV7" s="164">
        <v>1305.714962367</v>
      </c>
      <c r="HW7" s="164">
        <v>1137.89944926</v>
      </c>
      <c r="HX7" s="164">
        <v>1203.6644270070001</v>
      </c>
      <c r="HY7" s="164">
        <v>1221.2219808320001</v>
      </c>
      <c r="HZ7" s="164">
        <v>1210.004258077</v>
      </c>
      <c r="IA7" s="164">
        <v>1217.624329021</v>
      </c>
      <c r="IB7" s="164">
        <v>1275.6544877639999</v>
      </c>
      <c r="IC7" s="164">
        <v>1289.4749786659997</v>
      </c>
      <c r="ID7" s="164">
        <v>1380.5095345980001</v>
      </c>
      <c r="IE7" s="164">
        <v>1287.28118505</v>
      </c>
      <c r="IF7" s="164">
        <v>1315.714644161</v>
      </c>
      <c r="IG7" s="164">
        <v>1306.3543464889999</v>
      </c>
      <c r="IH7" s="164">
        <v>1340.8832308640001</v>
      </c>
      <c r="II7" s="164">
        <v>1201.771642828</v>
      </c>
      <c r="IJ7" s="164">
        <v>1341.7315398420001</v>
      </c>
      <c r="IK7" s="164">
        <v>1327.9326701989999</v>
      </c>
      <c r="IL7" s="164">
        <v>1353.2455696009997</v>
      </c>
      <c r="IM7" s="164">
        <v>1447.4064844840002</v>
      </c>
      <c r="IN7" s="164">
        <v>1434.600657724</v>
      </c>
      <c r="IO7" s="164">
        <v>1496.8370490299999</v>
      </c>
      <c r="IP7" s="164">
        <v>1444.6899698120001</v>
      </c>
      <c r="IQ7" s="164">
        <v>1522.499893084</v>
      </c>
      <c r="IR7" s="164">
        <v>1511.27978254</v>
      </c>
      <c r="IS7" s="164">
        <v>1540.612970441</v>
      </c>
      <c r="IT7" s="159">
        <v>1679.3341653919999</v>
      </c>
      <c r="IU7" s="159">
        <v>1500.5246577590001</v>
      </c>
      <c r="IV7" s="159">
        <v>1403.9077077540001</v>
      </c>
      <c r="IW7" s="159">
        <v>1566.3167883440001</v>
      </c>
      <c r="IX7" s="159">
        <v>1669.0615722639998</v>
      </c>
      <c r="IY7" s="159">
        <v>1555.3011958709999</v>
      </c>
      <c r="IZ7" s="159">
        <v>1708.6953278380001</v>
      </c>
      <c r="JA7" s="159">
        <v>1627.1372569910002</v>
      </c>
      <c r="JB7" s="159">
        <v>1613.0377252870001</v>
      </c>
      <c r="JC7" s="159">
        <v>1710.8113856219998</v>
      </c>
      <c r="JD7" s="159">
        <v>1653.092212414</v>
      </c>
      <c r="JE7" s="159">
        <v>1697.548107695</v>
      </c>
      <c r="JF7" s="159">
        <v>1872.8536184920001</v>
      </c>
      <c r="JG7" s="159">
        <v>1634.6723069039999</v>
      </c>
      <c r="JH7" s="159">
        <v>1629.1539655690001</v>
      </c>
      <c r="JI7" s="159">
        <v>429.855200432</v>
      </c>
      <c r="JJ7" s="159"/>
      <c r="JK7" s="159"/>
      <c r="JL7" s="159"/>
      <c r="JM7" s="159"/>
      <c r="JN7" s="159"/>
      <c r="JO7" s="159"/>
      <c r="JP7" s="159"/>
      <c r="JQ7" s="159"/>
    </row>
    <row r="8" spans="1:277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4">
        <v>228.51272463199999</v>
      </c>
      <c r="HK8" s="164">
        <v>274.396795881</v>
      </c>
      <c r="HL8" s="164">
        <v>267.50495042399996</v>
      </c>
      <c r="HM8" s="164">
        <v>203.290492868</v>
      </c>
      <c r="HN8" s="164">
        <v>257.13154938400004</v>
      </c>
      <c r="HO8" s="164">
        <v>183.61531261700003</v>
      </c>
      <c r="HP8" s="164">
        <v>223.41107926599997</v>
      </c>
      <c r="HQ8" s="164">
        <v>221.19649145899999</v>
      </c>
      <c r="HR8" s="164">
        <v>272.60123683699999</v>
      </c>
      <c r="HS8" s="164">
        <v>298.06517379600001</v>
      </c>
      <c r="HT8" s="164">
        <v>264.36289329600004</v>
      </c>
      <c r="HU8" s="164">
        <v>290.52778046699996</v>
      </c>
      <c r="HV8" s="164">
        <v>293.35336293200004</v>
      </c>
      <c r="HW8" s="164">
        <v>284.22315404300002</v>
      </c>
      <c r="HX8" s="164">
        <v>156.47596975400003</v>
      </c>
      <c r="HY8" s="164">
        <v>223.54537771700001</v>
      </c>
      <c r="HZ8" s="164">
        <v>205.18824235399998</v>
      </c>
      <c r="IA8" s="164">
        <v>247.732084128</v>
      </c>
      <c r="IB8" s="164">
        <v>201.91165698300003</v>
      </c>
      <c r="IC8" s="164">
        <v>221.619126798</v>
      </c>
      <c r="ID8" s="164">
        <v>235.07748486799997</v>
      </c>
      <c r="IE8" s="164">
        <v>200.967743584</v>
      </c>
      <c r="IF8" s="164">
        <v>212.42502289300003</v>
      </c>
      <c r="IG8" s="164">
        <v>253.62446672600001</v>
      </c>
      <c r="IH8" s="164">
        <v>264.03765649000002</v>
      </c>
      <c r="II8" s="164">
        <v>184.222920536</v>
      </c>
      <c r="IJ8" s="164">
        <v>284.19373871599998</v>
      </c>
      <c r="IK8" s="164">
        <v>219.693612358</v>
      </c>
      <c r="IL8" s="164">
        <v>259.411193647</v>
      </c>
      <c r="IM8" s="164">
        <v>277.43219475400002</v>
      </c>
      <c r="IN8" s="164">
        <v>272.94209172299998</v>
      </c>
      <c r="IO8" s="164">
        <v>266.77221482500005</v>
      </c>
      <c r="IP8" s="164">
        <v>319.58770893299999</v>
      </c>
      <c r="IQ8" s="164">
        <v>260.38738784600002</v>
      </c>
      <c r="IR8" s="164">
        <v>243.11248546799999</v>
      </c>
      <c r="IS8" s="164">
        <v>287.50640535099996</v>
      </c>
      <c r="IT8" s="159">
        <v>320.94991050900001</v>
      </c>
      <c r="IU8" s="159">
        <v>261.03238444800002</v>
      </c>
      <c r="IV8" s="159">
        <v>305.67360571800003</v>
      </c>
      <c r="IW8" s="159">
        <v>312.68064662699993</v>
      </c>
      <c r="IX8" s="159">
        <v>378.88963056999995</v>
      </c>
      <c r="IY8" s="159">
        <v>299.902925821</v>
      </c>
      <c r="IZ8" s="159">
        <v>351.77888430700011</v>
      </c>
      <c r="JA8" s="159">
        <v>242.69251343699997</v>
      </c>
      <c r="JB8" s="159">
        <v>302.80798078599997</v>
      </c>
      <c r="JC8" s="159">
        <v>335.90679134499999</v>
      </c>
      <c r="JD8" s="159">
        <v>275.42772564099999</v>
      </c>
      <c r="JE8" s="159">
        <v>333.23729991100004</v>
      </c>
      <c r="JF8" s="159">
        <v>298.67552194899997</v>
      </c>
      <c r="JG8" s="159">
        <v>330.556061774</v>
      </c>
      <c r="JH8" s="159">
        <v>261.88832286100001</v>
      </c>
      <c r="JI8" s="159">
        <v>145.40400557399997</v>
      </c>
      <c r="JJ8" s="159"/>
      <c r="JK8" s="159"/>
      <c r="JL8" s="159"/>
      <c r="JM8" s="159"/>
      <c r="JN8" s="159"/>
      <c r="JO8" s="159"/>
      <c r="JP8" s="159"/>
      <c r="JQ8" s="159"/>
    </row>
    <row r="9" spans="1:277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4">
        <v>0</v>
      </c>
      <c r="HK9" s="164">
        <v>0</v>
      </c>
      <c r="HL9" s="164">
        <v>0</v>
      </c>
      <c r="HM9" s="164">
        <v>0</v>
      </c>
      <c r="HN9" s="164">
        <v>0</v>
      </c>
      <c r="HO9" s="164">
        <v>0</v>
      </c>
      <c r="HP9" s="164">
        <v>0</v>
      </c>
      <c r="HQ9" s="164">
        <v>0</v>
      </c>
      <c r="HR9" s="164">
        <v>0</v>
      </c>
      <c r="HS9" s="164">
        <v>0</v>
      </c>
      <c r="HT9" s="164">
        <v>0</v>
      </c>
      <c r="HU9" s="164">
        <v>0</v>
      </c>
      <c r="HV9" s="164">
        <v>0</v>
      </c>
      <c r="HW9" s="164">
        <v>0</v>
      </c>
      <c r="HX9" s="164">
        <v>0</v>
      </c>
      <c r="HY9" s="164">
        <v>0</v>
      </c>
      <c r="HZ9" s="164">
        <v>0</v>
      </c>
      <c r="IA9" s="164">
        <v>0</v>
      </c>
      <c r="IB9" s="164">
        <v>0</v>
      </c>
      <c r="IC9" s="164">
        <v>0</v>
      </c>
      <c r="ID9" s="164">
        <v>0</v>
      </c>
      <c r="IE9" s="164">
        <v>0</v>
      </c>
      <c r="IF9" s="164">
        <v>0</v>
      </c>
      <c r="IG9" s="164">
        <v>0</v>
      </c>
      <c r="IH9" s="164">
        <v>0</v>
      </c>
      <c r="II9" s="164">
        <v>0</v>
      </c>
      <c r="IJ9" s="164">
        <v>0</v>
      </c>
      <c r="IK9" s="164">
        <v>0</v>
      </c>
      <c r="IL9" s="164">
        <v>0</v>
      </c>
      <c r="IM9" s="164">
        <v>0</v>
      </c>
      <c r="IN9" s="164">
        <v>0</v>
      </c>
      <c r="IO9" s="164">
        <v>0</v>
      </c>
      <c r="IP9" s="164">
        <v>0</v>
      </c>
      <c r="IQ9" s="164">
        <v>0</v>
      </c>
      <c r="IR9" s="164">
        <v>0</v>
      </c>
      <c r="IS9" s="164">
        <v>0</v>
      </c>
      <c r="IT9" s="159">
        <v>0</v>
      </c>
      <c r="IU9" s="159">
        <v>0</v>
      </c>
      <c r="IV9" s="159">
        <v>0</v>
      </c>
      <c r="IW9" s="159">
        <v>0</v>
      </c>
      <c r="IX9" s="159">
        <v>0</v>
      </c>
      <c r="IY9" s="159">
        <v>0</v>
      </c>
      <c r="IZ9" s="159">
        <v>0</v>
      </c>
      <c r="JA9" s="159">
        <v>0</v>
      </c>
      <c r="JB9" s="159">
        <v>0</v>
      </c>
      <c r="JC9" s="159">
        <v>0</v>
      </c>
      <c r="JD9" s="159">
        <v>0</v>
      </c>
      <c r="JE9" s="159">
        <v>0</v>
      </c>
      <c r="JF9" s="159">
        <v>0</v>
      </c>
      <c r="JG9" s="159">
        <v>0</v>
      </c>
      <c r="JH9" s="159">
        <v>0</v>
      </c>
      <c r="JI9" s="159">
        <v>0</v>
      </c>
      <c r="JJ9" s="159"/>
      <c r="JK9" s="159"/>
      <c r="JL9" s="159"/>
      <c r="JM9" s="159"/>
      <c r="JN9" s="159"/>
      <c r="JO9" s="159"/>
      <c r="JP9" s="159"/>
      <c r="JQ9" s="159"/>
    </row>
    <row r="10" spans="1:277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4">
        <v>160.89483493899999</v>
      </c>
      <c r="HK10" s="164">
        <v>172.37976220600001</v>
      </c>
      <c r="HL10" s="164">
        <v>182.44123244400004</v>
      </c>
      <c r="HM10" s="164">
        <v>165.25463749400001</v>
      </c>
      <c r="HN10" s="164">
        <v>158.846984249</v>
      </c>
      <c r="HO10" s="164">
        <v>175.30910456000001</v>
      </c>
      <c r="HP10" s="164">
        <v>186.19403505200003</v>
      </c>
      <c r="HQ10" s="164">
        <v>220.84264210800001</v>
      </c>
      <c r="HR10" s="164">
        <v>220.88505989499998</v>
      </c>
      <c r="HS10" s="164">
        <v>256.782615765</v>
      </c>
      <c r="HT10" s="164">
        <v>265.70977340499996</v>
      </c>
      <c r="HU10" s="164">
        <v>257.031139505</v>
      </c>
      <c r="HV10" s="164">
        <v>238.07483976100002</v>
      </c>
      <c r="HW10" s="164">
        <v>211.745766506</v>
      </c>
      <c r="HX10" s="164">
        <v>243.65137896100001</v>
      </c>
      <c r="HY10" s="164">
        <v>232.08945840999999</v>
      </c>
      <c r="HZ10" s="164">
        <v>189.98762201599999</v>
      </c>
      <c r="IA10" s="164">
        <v>224.15860305099997</v>
      </c>
      <c r="IB10" s="164">
        <v>229.72297169999999</v>
      </c>
      <c r="IC10" s="164">
        <v>270.82895522400003</v>
      </c>
      <c r="ID10" s="164">
        <v>259.51546032599998</v>
      </c>
      <c r="IE10" s="164">
        <v>237.761686532</v>
      </c>
      <c r="IF10" s="164">
        <v>276.12059678100002</v>
      </c>
      <c r="IG10" s="164">
        <v>244.50157529999998</v>
      </c>
      <c r="IH10" s="164">
        <v>231.93411575600001</v>
      </c>
      <c r="II10" s="164">
        <v>226.58003258199997</v>
      </c>
      <c r="IJ10" s="164">
        <v>261.07128901999999</v>
      </c>
      <c r="IK10" s="164">
        <v>199.994849397</v>
      </c>
      <c r="IL10" s="164">
        <v>235.557414548</v>
      </c>
      <c r="IM10" s="164">
        <v>237.915666034</v>
      </c>
      <c r="IN10" s="164">
        <v>229.37596983699999</v>
      </c>
      <c r="IO10" s="164">
        <v>256.40447533400004</v>
      </c>
      <c r="IP10" s="164">
        <v>236.99305317700001</v>
      </c>
      <c r="IQ10" s="164">
        <v>300.83985121699999</v>
      </c>
      <c r="IR10" s="164">
        <v>294.57526467600002</v>
      </c>
      <c r="IS10" s="164">
        <v>268.73415694699997</v>
      </c>
      <c r="IT10" s="159">
        <v>311.39674424899999</v>
      </c>
      <c r="IU10" s="159">
        <v>261.07994482800001</v>
      </c>
      <c r="IV10" s="159">
        <v>229.18597007</v>
      </c>
      <c r="IW10" s="159">
        <v>289.46073972700003</v>
      </c>
      <c r="IX10" s="159">
        <v>308.83135244300001</v>
      </c>
      <c r="IY10" s="159">
        <v>254.30489454599999</v>
      </c>
      <c r="IZ10" s="159">
        <v>316.32437397099994</v>
      </c>
      <c r="JA10" s="159">
        <v>309.60917598499998</v>
      </c>
      <c r="JB10" s="159">
        <v>316.59926093199999</v>
      </c>
      <c r="JC10" s="159">
        <v>383.84790408499998</v>
      </c>
      <c r="JD10" s="159">
        <v>349.60459257699995</v>
      </c>
      <c r="JE10" s="159">
        <v>349.33110477600002</v>
      </c>
      <c r="JF10" s="159">
        <v>372.27745325100005</v>
      </c>
      <c r="JG10" s="159">
        <v>297.99813296299999</v>
      </c>
      <c r="JH10" s="159">
        <v>327.16024011999997</v>
      </c>
      <c r="JI10" s="159">
        <v>344.78811579299997</v>
      </c>
      <c r="JJ10" s="159"/>
      <c r="JK10" s="159"/>
      <c r="JL10" s="159"/>
      <c r="JM10" s="159"/>
      <c r="JN10" s="159"/>
      <c r="JO10" s="159"/>
      <c r="JP10" s="159"/>
      <c r="JQ10" s="159"/>
    </row>
    <row r="11" spans="1:277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4">
        <v>24.702261312000001</v>
      </c>
      <c r="HK11" s="164">
        <v>25.570555553999998</v>
      </c>
      <c r="HL11" s="164">
        <v>27.901861240000002</v>
      </c>
      <c r="HM11" s="164">
        <v>25.979859689000001</v>
      </c>
      <c r="HN11" s="164">
        <v>37.134199808000005</v>
      </c>
      <c r="HO11" s="164">
        <v>34.239473973000003</v>
      </c>
      <c r="HP11" s="164">
        <v>66.489813192</v>
      </c>
      <c r="HQ11" s="164">
        <v>38.279543021999999</v>
      </c>
      <c r="HR11" s="164">
        <v>33.237564186</v>
      </c>
      <c r="HS11" s="164">
        <v>40.842408859999992</v>
      </c>
      <c r="HT11" s="164">
        <v>36.739832716000002</v>
      </c>
      <c r="HU11" s="164">
        <v>45.529732617999997</v>
      </c>
      <c r="HV11" s="164">
        <v>30.298084822999996</v>
      </c>
      <c r="HW11" s="164">
        <v>32.182129678999999</v>
      </c>
      <c r="HX11" s="164">
        <v>35.354547314000001</v>
      </c>
      <c r="HY11" s="164">
        <v>30.537879134999997</v>
      </c>
      <c r="HZ11" s="164">
        <v>41.531718075999997</v>
      </c>
      <c r="IA11" s="164">
        <v>35.956717749999996</v>
      </c>
      <c r="IB11" s="164">
        <v>40.540107171999999</v>
      </c>
      <c r="IC11" s="164">
        <v>37.867954487999995</v>
      </c>
      <c r="ID11" s="164">
        <v>37.191802785999997</v>
      </c>
      <c r="IE11" s="164">
        <v>33.178094453</v>
      </c>
      <c r="IF11" s="164">
        <v>45.514815973000005</v>
      </c>
      <c r="IG11" s="164">
        <v>62.571260065000004</v>
      </c>
      <c r="IH11" s="164">
        <v>33.525288263999997</v>
      </c>
      <c r="II11" s="164">
        <v>30.699576370000003</v>
      </c>
      <c r="IJ11" s="164">
        <v>37.823658704000003</v>
      </c>
      <c r="IK11" s="164">
        <v>39.136815034000001</v>
      </c>
      <c r="IL11" s="164">
        <v>39.231828301</v>
      </c>
      <c r="IM11" s="164">
        <v>43.163325729</v>
      </c>
      <c r="IN11" s="164">
        <v>59.708426193000001</v>
      </c>
      <c r="IO11" s="164">
        <v>53.169918567999993</v>
      </c>
      <c r="IP11" s="164">
        <v>38.384935112999997</v>
      </c>
      <c r="IQ11" s="164">
        <v>35.032332550999989</v>
      </c>
      <c r="IR11" s="164">
        <v>46.535174339999998</v>
      </c>
      <c r="IS11" s="164">
        <v>45.215588416999992</v>
      </c>
      <c r="IT11" s="159">
        <v>44.782964546000002</v>
      </c>
      <c r="IU11" s="159">
        <v>34.187622157999996</v>
      </c>
      <c r="IV11" s="159">
        <v>64.410196978000002</v>
      </c>
      <c r="IW11" s="159">
        <v>61.828527043000008</v>
      </c>
      <c r="IX11" s="159">
        <v>71.956418460999998</v>
      </c>
      <c r="IY11" s="159">
        <v>74.610823964999994</v>
      </c>
      <c r="IZ11" s="159">
        <v>66.058205838999996</v>
      </c>
      <c r="JA11" s="159">
        <v>64.483674213</v>
      </c>
      <c r="JB11" s="159">
        <v>61.312462449000002</v>
      </c>
      <c r="JC11" s="159">
        <v>67.358805779999997</v>
      </c>
      <c r="JD11" s="159">
        <v>110.87803425599999</v>
      </c>
      <c r="JE11" s="159">
        <v>71.924113344000006</v>
      </c>
      <c r="JF11" s="159">
        <v>80.413314452999998</v>
      </c>
      <c r="JG11" s="159">
        <v>66.430633108999999</v>
      </c>
      <c r="JH11" s="159">
        <v>64.407430222000002</v>
      </c>
      <c r="JI11" s="159">
        <v>3371.7742735539996</v>
      </c>
      <c r="JJ11" s="159"/>
      <c r="JK11" s="159"/>
      <c r="JL11" s="159"/>
      <c r="JM11" s="159"/>
      <c r="JN11" s="159"/>
      <c r="JO11" s="159"/>
      <c r="JP11" s="159"/>
      <c r="JQ11" s="159"/>
    </row>
    <row r="12" spans="1:277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59"/>
      <c r="IU12" s="159"/>
      <c r="IV12" s="159"/>
      <c r="IW12" s="159"/>
      <c r="IX12" s="159"/>
      <c r="IY12" s="159"/>
      <c r="IZ12" s="159"/>
      <c r="JA12" s="159"/>
      <c r="JB12" s="159"/>
      <c r="JC12" s="159"/>
      <c r="JD12" s="159"/>
      <c r="JE12" s="159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</row>
    <row r="13" spans="1:277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4">
        <v>120.32482608099998</v>
      </c>
      <c r="HK13" s="164">
        <v>615.74104464300001</v>
      </c>
      <c r="HL13" s="164">
        <v>174.238474188</v>
      </c>
      <c r="HM13" s="164">
        <v>153.196231466</v>
      </c>
      <c r="HN13" s="164">
        <v>211.42116319100003</v>
      </c>
      <c r="HO13" s="164">
        <v>225.68399691599998</v>
      </c>
      <c r="HP13" s="164">
        <v>207.17329895</v>
      </c>
      <c r="HQ13" s="164">
        <v>199.86120596400002</v>
      </c>
      <c r="HR13" s="164">
        <v>193.31332771000001</v>
      </c>
      <c r="HS13" s="164">
        <v>259.81220650900002</v>
      </c>
      <c r="HT13" s="164">
        <v>248.22585705200004</v>
      </c>
      <c r="HU13" s="164">
        <v>168.59532213600002</v>
      </c>
      <c r="HV13" s="164">
        <v>139.387799234</v>
      </c>
      <c r="HW13" s="164">
        <v>683.29204039700005</v>
      </c>
      <c r="HX13" s="164">
        <v>303.34954659200002</v>
      </c>
      <c r="HY13" s="164">
        <v>243.23236706700001</v>
      </c>
      <c r="HZ13" s="164">
        <v>264.68826652999996</v>
      </c>
      <c r="IA13" s="164">
        <v>233.67498020800002</v>
      </c>
      <c r="IB13" s="164">
        <v>254.64293021100002</v>
      </c>
      <c r="IC13" s="164">
        <v>303.77530322199999</v>
      </c>
      <c r="ID13" s="164">
        <v>316.98033833899996</v>
      </c>
      <c r="IE13" s="164">
        <v>361.149693082</v>
      </c>
      <c r="IF13" s="164">
        <v>248.52893809299999</v>
      </c>
      <c r="IG13" s="164">
        <v>277.54207838399998</v>
      </c>
      <c r="IH13" s="164">
        <v>263.25957322299996</v>
      </c>
      <c r="II13" s="164">
        <v>272.435079202</v>
      </c>
      <c r="IJ13" s="164">
        <v>412.16464339999999</v>
      </c>
      <c r="IK13" s="164">
        <v>271.37227278199998</v>
      </c>
      <c r="IL13" s="164">
        <v>317.96261760700003</v>
      </c>
      <c r="IM13" s="164">
        <v>318.8615216</v>
      </c>
      <c r="IN13" s="164">
        <v>372.56672262200004</v>
      </c>
      <c r="IO13" s="164">
        <v>291.96675732400001</v>
      </c>
      <c r="IP13" s="164">
        <v>291.72772992300003</v>
      </c>
      <c r="IQ13" s="164">
        <v>328.83504779600003</v>
      </c>
      <c r="IR13" s="164">
        <v>263.01918017399998</v>
      </c>
      <c r="IS13" s="164">
        <v>305.42514575299998</v>
      </c>
      <c r="IT13" s="159">
        <v>307.65857778899999</v>
      </c>
      <c r="IU13" s="159">
        <v>270.59006107299996</v>
      </c>
      <c r="IV13" s="159">
        <v>260.42185997299998</v>
      </c>
      <c r="IW13" s="159">
        <v>258.59573403600001</v>
      </c>
      <c r="IX13" s="159">
        <v>259.91833523700001</v>
      </c>
      <c r="IY13" s="159">
        <v>252.199702183</v>
      </c>
      <c r="IZ13" s="159">
        <v>290.76578039700001</v>
      </c>
      <c r="JA13" s="159">
        <v>261.51274837</v>
      </c>
      <c r="JB13" s="159">
        <v>261.46539940299999</v>
      </c>
      <c r="JC13" s="159">
        <v>278.58991820699998</v>
      </c>
      <c r="JD13" s="159">
        <v>263.47761267700002</v>
      </c>
      <c r="JE13" s="159">
        <v>275.01524177099992</v>
      </c>
      <c r="JF13" s="159">
        <v>273.42565705699997</v>
      </c>
      <c r="JG13" s="159">
        <v>277.19387290000003</v>
      </c>
      <c r="JH13" s="159">
        <v>271.668960218</v>
      </c>
      <c r="JI13" s="159">
        <v>297.34299517599999</v>
      </c>
      <c r="JJ13" s="159"/>
      <c r="JK13" s="159"/>
      <c r="JL13" s="159"/>
      <c r="JM13" s="159"/>
      <c r="JN13" s="159"/>
      <c r="JO13" s="159"/>
      <c r="JP13" s="159"/>
      <c r="JQ13" s="159"/>
    </row>
    <row r="14" spans="1:277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59"/>
      <c r="IU14" s="159"/>
      <c r="IV14" s="159"/>
      <c r="IW14" s="159"/>
      <c r="IX14" s="159"/>
      <c r="IY14" s="159"/>
      <c r="IZ14" s="159"/>
      <c r="JA14" s="159"/>
      <c r="JB14" s="159"/>
      <c r="JC14" s="159"/>
      <c r="JD14" s="159"/>
      <c r="JE14" s="159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</row>
    <row r="15" spans="1:277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4">
        <v>99.230734585999983</v>
      </c>
      <c r="HK15" s="164">
        <v>99.989438605999993</v>
      </c>
      <c r="HL15" s="164">
        <v>221.36647876000004</v>
      </c>
      <c r="HM15" s="164">
        <v>187.468419399</v>
      </c>
      <c r="HN15" s="164">
        <v>84.372712449999995</v>
      </c>
      <c r="HO15" s="164">
        <v>288.17929708399998</v>
      </c>
      <c r="HP15" s="164">
        <v>88.889463215999996</v>
      </c>
      <c r="HQ15" s="164">
        <v>116.03432881099999</v>
      </c>
      <c r="HR15" s="164">
        <v>100.51694366500001</v>
      </c>
      <c r="HS15" s="164">
        <v>87.918743326000012</v>
      </c>
      <c r="HT15" s="164">
        <v>200.12383474900003</v>
      </c>
      <c r="HU15" s="164">
        <v>258.05542989099996</v>
      </c>
      <c r="HV15" s="164">
        <v>119.586086827</v>
      </c>
      <c r="HW15" s="164">
        <v>82.60947037199999</v>
      </c>
      <c r="HX15" s="164">
        <v>155.175735468</v>
      </c>
      <c r="HY15" s="164">
        <v>103.43830642099998</v>
      </c>
      <c r="HZ15" s="164">
        <v>90.824655859000003</v>
      </c>
      <c r="IA15" s="164">
        <v>122.49067695499998</v>
      </c>
      <c r="IB15" s="164">
        <v>95.582703430000009</v>
      </c>
      <c r="IC15" s="164">
        <v>89.712094755999999</v>
      </c>
      <c r="ID15" s="164">
        <v>92.571731033999995</v>
      </c>
      <c r="IE15" s="164">
        <v>157.54816883399999</v>
      </c>
      <c r="IF15" s="164">
        <v>263.06961519700002</v>
      </c>
      <c r="IG15" s="164">
        <v>232.55835453099999</v>
      </c>
      <c r="IH15" s="164">
        <v>91.270490181999989</v>
      </c>
      <c r="II15" s="164">
        <v>165.24954907400002</v>
      </c>
      <c r="IJ15" s="164">
        <v>179.154591735</v>
      </c>
      <c r="IK15" s="164">
        <v>109.46923441599999</v>
      </c>
      <c r="IL15" s="164">
        <v>153.70041273300001</v>
      </c>
      <c r="IM15" s="164">
        <v>142.31884875599999</v>
      </c>
      <c r="IN15" s="164">
        <v>102.59623418500001</v>
      </c>
      <c r="IO15" s="164">
        <v>48.431582518999996</v>
      </c>
      <c r="IP15" s="164">
        <v>176.13556780499999</v>
      </c>
      <c r="IQ15" s="164">
        <v>101.52181302599999</v>
      </c>
      <c r="IR15" s="164">
        <v>200.22263622700001</v>
      </c>
      <c r="IS15" s="164">
        <v>340.06244851899999</v>
      </c>
      <c r="IT15" s="159">
        <v>81.670096715</v>
      </c>
      <c r="IU15" s="159">
        <v>101.03874689</v>
      </c>
      <c r="IV15" s="159">
        <v>75.467958120999995</v>
      </c>
      <c r="IW15" s="159">
        <v>321.20730355900002</v>
      </c>
      <c r="IX15" s="159">
        <v>155.119391001</v>
      </c>
      <c r="IY15" s="159">
        <v>115.63039133999999</v>
      </c>
      <c r="IZ15" s="159">
        <v>227.37097505699998</v>
      </c>
      <c r="JA15" s="159">
        <v>144.35493190900002</v>
      </c>
      <c r="JB15" s="159">
        <v>133.323971091</v>
      </c>
      <c r="JC15" s="159">
        <v>136.67292838400002</v>
      </c>
      <c r="JD15" s="159">
        <v>95.311864408000005</v>
      </c>
      <c r="JE15" s="159">
        <v>349.51675932200004</v>
      </c>
      <c r="JF15" s="159">
        <v>116.16520254999999</v>
      </c>
      <c r="JG15" s="159">
        <v>133.63602569</v>
      </c>
      <c r="JH15" s="159">
        <v>163.923467147</v>
      </c>
      <c r="JI15" s="159">
        <v>106.009985837</v>
      </c>
      <c r="JJ15" s="159"/>
      <c r="JK15" s="159"/>
      <c r="JL15" s="159"/>
      <c r="JM15" s="159"/>
      <c r="JN15" s="159"/>
      <c r="JO15" s="159"/>
      <c r="JP15" s="159"/>
      <c r="JQ15" s="159"/>
    </row>
    <row r="16" spans="1:277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4">
        <v>31.745597915999998</v>
      </c>
      <c r="HK16" s="164">
        <v>0.94117852200000007</v>
      </c>
      <c r="HL16" s="164">
        <v>0</v>
      </c>
      <c r="HM16" s="164">
        <v>106.839645</v>
      </c>
      <c r="HN16" s="164">
        <v>2.0981532000000001</v>
      </c>
      <c r="HO16" s="164">
        <v>0</v>
      </c>
      <c r="HP16" s="164">
        <v>0</v>
      </c>
      <c r="HQ16" s="164">
        <v>12.311858931000002</v>
      </c>
      <c r="HR16" s="164">
        <v>0.87205073599999938</v>
      </c>
      <c r="HS16" s="164">
        <v>0</v>
      </c>
      <c r="HT16" s="164">
        <v>103.49888469</v>
      </c>
      <c r="HU16" s="164">
        <v>59.123962661</v>
      </c>
      <c r="HV16" s="164">
        <v>56.653693006000005</v>
      </c>
      <c r="HW16" s="164">
        <v>0</v>
      </c>
      <c r="HX16" s="164">
        <v>0</v>
      </c>
      <c r="HY16" s="164">
        <v>0</v>
      </c>
      <c r="HZ16" s="164">
        <v>0</v>
      </c>
      <c r="IA16" s="164">
        <v>0</v>
      </c>
      <c r="IB16" s="164">
        <v>0</v>
      </c>
      <c r="IC16" s="164">
        <v>0</v>
      </c>
      <c r="ID16" s="164">
        <v>1.2124608229999998</v>
      </c>
      <c r="IE16" s="164">
        <v>0</v>
      </c>
      <c r="IF16" s="164">
        <v>45.063276864999999</v>
      </c>
      <c r="IG16" s="164">
        <v>125.21602194299999</v>
      </c>
      <c r="IH16" s="164">
        <v>19.186305332</v>
      </c>
      <c r="II16" s="164">
        <v>2.515557013</v>
      </c>
      <c r="IJ16" s="164">
        <v>0</v>
      </c>
      <c r="IK16" s="164">
        <v>1.508005584</v>
      </c>
      <c r="IL16" s="164">
        <v>43.200825156999997</v>
      </c>
      <c r="IM16" s="164">
        <v>0</v>
      </c>
      <c r="IN16" s="164">
        <v>0</v>
      </c>
      <c r="IO16" s="164">
        <v>0</v>
      </c>
      <c r="IP16" s="164">
        <v>16.673870068999999</v>
      </c>
      <c r="IQ16" s="164">
        <v>0</v>
      </c>
      <c r="IR16" s="164">
        <v>97.155662800000016</v>
      </c>
      <c r="IS16" s="164">
        <v>110.53109895499999</v>
      </c>
      <c r="IT16" s="159">
        <v>2.8124893599999998</v>
      </c>
      <c r="IU16" s="159">
        <v>6.700709045</v>
      </c>
      <c r="IV16" s="159">
        <v>17.430996669999999</v>
      </c>
      <c r="IW16" s="159">
        <v>0</v>
      </c>
      <c r="IX16" s="159">
        <v>0</v>
      </c>
      <c r="IY16" s="159">
        <v>0</v>
      </c>
      <c r="IZ16" s="159">
        <v>9.2199513769999992</v>
      </c>
      <c r="JA16" s="159">
        <v>9.9371759100000006</v>
      </c>
      <c r="JB16" s="159">
        <v>0</v>
      </c>
      <c r="JC16" s="159">
        <v>16.103099349000001</v>
      </c>
      <c r="JD16" s="159">
        <v>0.79090793100000001</v>
      </c>
      <c r="JE16" s="159">
        <v>0</v>
      </c>
      <c r="JF16" s="159">
        <v>1.118168134</v>
      </c>
      <c r="JG16" s="159">
        <v>0</v>
      </c>
      <c r="JH16" s="159">
        <v>0</v>
      </c>
      <c r="JI16" s="159">
        <v>0</v>
      </c>
      <c r="JJ16" s="159"/>
      <c r="JK16" s="159"/>
      <c r="JL16" s="159"/>
      <c r="JM16" s="159"/>
      <c r="JN16" s="159"/>
      <c r="JO16" s="159"/>
      <c r="JP16" s="159"/>
      <c r="JQ16" s="159"/>
    </row>
    <row r="17" spans="1:277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4">
        <v>0</v>
      </c>
      <c r="HK17" s="164">
        <v>0</v>
      </c>
      <c r="HL17" s="164">
        <v>0</v>
      </c>
      <c r="HM17" s="164">
        <v>0</v>
      </c>
      <c r="HN17" s="164">
        <v>0</v>
      </c>
      <c r="HO17" s="164">
        <v>0</v>
      </c>
      <c r="HP17" s="164">
        <v>0</v>
      </c>
      <c r="HQ17" s="164">
        <v>0</v>
      </c>
      <c r="HR17" s="164">
        <v>7.7674361999999997</v>
      </c>
      <c r="HS17" s="164">
        <v>0</v>
      </c>
      <c r="HT17" s="164">
        <v>39.204174901000002</v>
      </c>
      <c r="HU17" s="164">
        <v>59.123962661</v>
      </c>
      <c r="HV17" s="164">
        <v>0</v>
      </c>
      <c r="HW17" s="164">
        <v>0</v>
      </c>
      <c r="HX17" s="164">
        <v>0</v>
      </c>
      <c r="HY17" s="164">
        <v>0</v>
      </c>
      <c r="HZ17" s="164">
        <v>0</v>
      </c>
      <c r="IA17" s="164">
        <v>0</v>
      </c>
      <c r="IB17" s="164">
        <v>0</v>
      </c>
      <c r="IC17" s="164">
        <v>0</v>
      </c>
      <c r="ID17" s="164">
        <v>0</v>
      </c>
      <c r="IE17" s="164">
        <v>0</v>
      </c>
      <c r="IF17" s="164">
        <v>0</v>
      </c>
      <c r="IG17" s="164">
        <v>76.041959796</v>
      </c>
      <c r="IH17" s="164">
        <v>0</v>
      </c>
      <c r="II17" s="164">
        <v>0</v>
      </c>
      <c r="IJ17" s="164">
        <v>0</v>
      </c>
      <c r="IK17" s="164">
        <v>0</v>
      </c>
      <c r="IL17" s="164">
        <v>0</v>
      </c>
      <c r="IM17" s="164">
        <v>0</v>
      </c>
      <c r="IN17" s="164">
        <v>0</v>
      </c>
      <c r="IO17" s="164">
        <v>0</v>
      </c>
      <c r="IP17" s="164">
        <v>0</v>
      </c>
      <c r="IQ17" s="164">
        <v>0</v>
      </c>
      <c r="IR17" s="164">
        <v>37.186300000000003</v>
      </c>
      <c r="IS17" s="164">
        <v>109.804257955</v>
      </c>
      <c r="IT17" s="159">
        <v>0</v>
      </c>
      <c r="IU17" s="159">
        <v>0</v>
      </c>
      <c r="IV17" s="159">
        <v>0</v>
      </c>
      <c r="IW17" s="159">
        <v>0</v>
      </c>
      <c r="IX17" s="159">
        <v>0</v>
      </c>
      <c r="IY17" s="159">
        <v>0</v>
      </c>
      <c r="IZ17" s="159">
        <v>0</v>
      </c>
      <c r="JA17" s="159">
        <v>0</v>
      </c>
      <c r="JB17" s="159">
        <v>0</v>
      </c>
      <c r="JC17" s="159">
        <v>0</v>
      </c>
      <c r="JD17" s="159">
        <v>0</v>
      </c>
      <c r="JE17" s="159">
        <v>0</v>
      </c>
      <c r="JF17" s="159">
        <v>0</v>
      </c>
      <c r="JG17" s="159">
        <v>0</v>
      </c>
      <c r="JH17" s="159">
        <v>0</v>
      </c>
      <c r="JI17" s="159">
        <v>0</v>
      </c>
      <c r="JJ17" s="159"/>
      <c r="JK17" s="159"/>
      <c r="JL17" s="159"/>
      <c r="JM17" s="159"/>
      <c r="JN17" s="159"/>
      <c r="JO17" s="159"/>
      <c r="JP17" s="159"/>
      <c r="JQ17" s="159"/>
    </row>
    <row r="18" spans="1:277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4">
        <v>31.745597915999998</v>
      </c>
      <c r="HK18" s="164">
        <v>0.94117852200000007</v>
      </c>
      <c r="HL18" s="164">
        <v>0</v>
      </c>
      <c r="HM18" s="164">
        <v>106.839645</v>
      </c>
      <c r="HN18" s="164">
        <v>2.0981532000000001</v>
      </c>
      <c r="HO18" s="164">
        <v>0</v>
      </c>
      <c r="HP18" s="164">
        <v>0</v>
      </c>
      <c r="HQ18" s="164">
        <v>12.311858931000002</v>
      </c>
      <c r="HR18" s="164">
        <v>-6.8953854640000003</v>
      </c>
      <c r="HS18" s="164">
        <v>0</v>
      </c>
      <c r="HT18" s="164">
        <v>64.294709788999995</v>
      </c>
      <c r="HU18" s="164">
        <v>0</v>
      </c>
      <c r="HV18" s="164">
        <v>56.653693006000005</v>
      </c>
      <c r="HW18" s="164">
        <v>0</v>
      </c>
      <c r="HX18" s="164">
        <v>0</v>
      </c>
      <c r="HY18" s="164">
        <v>0</v>
      </c>
      <c r="HZ18" s="164">
        <v>0</v>
      </c>
      <c r="IA18" s="164">
        <v>0</v>
      </c>
      <c r="IB18" s="164">
        <v>0</v>
      </c>
      <c r="IC18" s="164">
        <v>0</v>
      </c>
      <c r="ID18" s="164">
        <v>1.2124608229999998</v>
      </c>
      <c r="IE18" s="164">
        <v>0</v>
      </c>
      <c r="IF18" s="164">
        <v>45.063276864999999</v>
      </c>
      <c r="IG18" s="164">
        <v>49.174062146999994</v>
      </c>
      <c r="IH18" s="164">
        <v>19.186305332</v>
      </c>
      <c r="II18" s="164">
        <v>2.515557013</v>
      </c>
      <c r="IJ18" s="164">
        <v>0</v>
      </c>
      <c r="IK18" s="164">
        <v>1.508005584</v>
      </c>
      <c r="IL18" s="164">
        <v>43.200825156999997</v>
      </c>
      <c r="IM18" s="164">
        <v>0</v>
      </c>
      <c r="IN18" s="164">
        <v>0</v>
      </c>
      <c r="IO18" s="164">
        <v>0</v>
      </c>
      <c r="IP18" s="164">
        <v>16.673870068999999</v>
      </c>
      <c r="IQ18" s="164">
        <v>0</v>
      </c>
      <c r="IR18" s="164">
        <v>59.969362800000006</v>
      </c>
      <c r="IS18" s="164">
        <v>0.72684099999999996</v>
      </c>
      <c r="IT18" s="159">
        <v>2.8124893599999998</v>
      </c>
      <c r="IU18" s="159">
        <v>6.700709045</v>
      </c>
      <c r="IV18" s="159">
        <v>17.430996669999999</v>
      </c>
      <c r="IW18" s="159">
        <v>0</v>
      </c>
      <c r="IX18" s="159">
        <v>0</v>
      </c>
      <c r="IY18" s="159">
        <v>0</v>
      </c>
      <c r="IZ18" s="159">
        <v>9.2199513769999992</v>
      </c>
      <c r="JA18" s="159">
        <v>9.9371759100000006</v>
      </c>
      <c r="JB18" s="159">
        <v>0</v>
      </c>
      <c r="JC18" s="159">
        <v>16.103099349000001</v>
      </c>
      <c r="JD18" s="159">
        <v>0.79090793100000001</v>
      </c>
      <c r="JE18" s="159">
        <v>0</v>
      </c>
      <c r="JF18" s="159">
        <v>1.118168134</v>
      </c>
      <c r="JG18" s="159">
        <v>0</v>
      </c>
      <c r="JH18" s="159">
        <v>0</v>
      </c>
      <c r="JI18" s="159">
        <v>0</v>
      </c>
      <c r="JJ18" s="159"/>
      <c r="JK18" s="159"/>
      <c r="JL18" s="159"/>
      <c r="JM18" s="159"/>
      <c r="JN18" s="159"/>
      <c r="JO18" s="159"/>
      <c r="JP18" s="159"/>
      <c r="JQ18" s="159"/>
    </row>
    <row r="19" spans="1:277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4">
        <v>0</v>
      </c>
      <c r="HK19" s="164">
        <v>0</v>
      </c>
      <c r="HL19" s="164">
        <v>5.6458662729999993</v>
      </c>
      <c r="HM19" s="164">
        <v>5.3458163839999999</v>
      </c>
      <c r="HN19" s="164">
        <v>4.9247760969999996</v>
      </c>
      <c r="HO19" s="164">
        <v>51.990565627999999</v>
      </c>
      <c r="HP19" s="164">
        <v>1.4692578089999999</v>
      </c>
      <c r="HQ19" s="164">
        <v>1.014178912</v>
      </c>
      <c r="HR19" s="164">
        <v>0</v>
      </c>
      <c r="HS19" s="164">
        <v>1.5369405870000001</v>
      </c>
      <c r="HT19" s="164">
        <v>0.218313484</v>
      </c>
      <c r="HU19" s="164">
        <v>0</v>
      </c>
      <c r="HV19" s="164">
        <v>0</v>
      </c>
      <c r="HW19" s="164">
        <v>0</v>
      </c>
      <c r="HX19" s="164">
        <v>42.633596231000006</v>
      </c>
      <c r="HY19" s="164">
        <v>6.5987053480000002</v>
      </c>
      <c r="HZ19" s="164">
        <v>0.81168188499999994</v>
      </c>
      <c r="IA19" s="164">
        <v>24.470350301</v>
      </c>
      <c r="IB19" s="164">
        <v>0</v>
      </c>
      <c r="IC19" s="164">
        <v>0</v>
      </c>
      <c r="ID19" s="164">
        <v>0</v>
      </c>
      <c r="IE19" s="164">
        <v>0</v>
      </c>
      <c r="IF19" s="164">
        <v>0</v>
      </c>
      <c r="IG19" s="164">
        <v>0</v>
      </c>
      <c r="IH19" s="164">
        <v>0</v>
      </c>
      <c r="II19" s="164">
        <v>0</v>
      </c>
      <c r="IJ19" s="164">
        <v>66.590111535999995</v>
      </c>
      <c r="IK19" s="164">
        <v>0</v>
      </c>
      <c r="IL19" s="164">
        <v>0</v>
      </c>
      <c r="IM19" s="164">
        <v>0</v>
      </c>
      <c r="IN19" s="164">
        <v>0</v>
      </c>
      <c r="IO19" s="164">
        <v>0</v>
      </c>
      <c r="IP19" s="164">
        <v>0</v>
      </c>
      <c r="IQ19" s="164">
        <v>0</v>
      </c>
      <c r="IR19" s="164">
        <v>0</v>
      </c>
      <c r="IS19" s="164">
        <v>43.553858782000006</v>
      </c>
      <c r="IT19" s="159">
        <v>0</v>
      </c>
      <c r="IU19" s="159">
        <v>0</v>
      </c>
      <c r="IV19" s="159">
        <v>0</v>
      </c>
      <c r="IW19" s="159">
        <v>152.51454167499998</v>
      </c>
      <c r="IX19" s="159">
        <v>0</v>
      </c>
      <c r="IY19" s="159">
        <v>0</v>
      </c>
      <c r="IZ19" s="159">
        <v>0</v>
      </c>
      <c r="JA19" s="159">
        <v>0</v>
      </c>
      <c r="JB19" s="159">
        <v>0</v>
      </c>
      <c r="JC19" s="159">
        <v>0</v>
      </c>
      <c r="JD19" s="159">
        <v>0</v>
      </c>
      <c r="JE19" s="159">
        <v>168.71603500100002</v>
      </c>
      <c r="JF19" s="159">
        <v>0</v>
      </c>
      <c r="JG19" s="159">
        <v>0</v>
      </c>
      <c r="JH19" s="159">
        <v>0</v>
      </c>
      <c r="JI19" s="159">
        <v>0</v>
      </c>
      <c r="JJ19" s="159"/>
      <c r="JK19" s="159"/>
      <c r="JL19" s="159"/>
      <c r="JM19" s="159"/>
      <c r="JN19" s="159"/>
      <c r="JO19" s="159"/>
      <c r="JP19" s="159"/>
      <c r="JQ19" s="159"/>
    </row>
    <row r="20" spans="1:277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4">
        <v>0</v>
      </c>
      <c r="HK20" s="164">
        <v>0</v>
      </c>
      <c r="HL20" s="164">
        <v>0</v>
      </c>
      <c r="HM20" s="164">
        <v>0</v>
      </c>
      <c r="HN20" s="164">
        <v>0</v>
      </c>
      <c r="HO20" s="164">
        <v>0</v>
      </c>
      <c r="HP20" s="164">
        <v>0</v>
      </c>
      <c r="HQ20" s="164">
        <v>0</v>
      </c>
      <c r="HR20" s="164">
        <v>0</v>
      </c>
      <c r="HS20" s="164">
        <v>0</v>
      </c>
      <c r="HT20" s="164">
        <v>0</v>
      </c>
      <c r="HU20" s="164">
        <v>0</v>
      </c>
      <c r="HV20" s="164">
        <v>0</v>
      </c>
      <c r="HW20" s="164">
        <v>0</v>
      </c>
      <c r="HX20" s="164">
        <v>0</v>
      </c>
      <c r="HY20" s="164">
        <v>0</v>
      </c>
      <c r="HZ20" s="164">
        <v>0</v>
      </c>
      <c r="IA20" s="164">
        <v>0</v>
      </c>
      <c r="IB20" s="164">
        <v>0</v>
      </c>
      <c r="IC20" s="164">
        <v>0</v>
      </c>
      <c r="ID20" s="164">
        <v>0</v>
      </c>
      <c r="IE20" s="164">
        <v>0</v>
      </c>
      <c r="IF20" s="164">
        <v>0</v>
      </c>
      <c r="IG20" s="164">
        <v>0</v>
      </c>
      <c r="IH20" s="164">
        <v>0</v>
      </c>
      <c r="II20" s="164">
        <v>0</v>
      </c>
      <c r="IJ20" s="164">
        <v>0</v>
      </c>
      <c r="IK20" s="164">
        <v>0</v>
      </c>
      <c r="IL20" s="164">
        <v>0</v>
      </c>
      <c r="IM20" s="164">
        <v>0</v>
      </c>
      <c r="IN20" s="164">
        <v>0</v>
      </c>
      <c r="IO20" s="164">
        <v>0</v>
      </c>
      <c r="IP20" s="164">
        <v>0</v>
      </c>
      <c r="IQ20" s="164">
        <v>0</v>
      </c>
      <c r="IR20" s="164">
        <v>0</v>
      </c>
      <c r="IS20" s="164">
        <v>0</v>
      </c>
      <c r="IT20" s="159">
        <v>0</v>
      </c>
      <c r="IU20" s="159">
        <v>0</v>
      </c>
      <c r="IV20" s="159">
        <v>0</v>
      </c>
      <c r="IW20" s="159">
        <v>0</v>
      </c>
      <c r="IX20" s="159">
        <v>0</v>
      </c>
      <c r="IY20" s="159">
        <v>0</v>
      </c>
      <c r="IZ20" s="159">
        <v>0</v>
      </c>
      <c r="JA20" s="159">
        <v>0</v>
      </c>
      <c r="JB20" s="159">
        <v>0</v>
      </c>
      <c r="JC20" s="159">
        <v>0</v>
      </c>
      <c r="JD20" s="159">
        <v>0</v>
      </c>
      <c r="JE20" s="159">
        <v>0</v>
      </c>
      <c r="JF20" s="159">
        <v>0</v>
      </c>
      <c r="JG20" s="159">
        <v>0</v>
      </c>
      <c r="JH20" s="159">
        <v>0</v>
      </c>
      <c r="JI20" s="159">
        <v>0</v>
      </c>
      <c r="JJ20" s="159"/>
      <c r="JK20" s="159"/>
      <c r="JL20" s="159"/>
      <c r="JM20" s="159"/>
      <c r="JN20" s="159"/>
      <c r="JO20" s="159"/>
      <c r="JP20" s="159"/>
      <c r="JQ20" s="159"/>
    </row>
    <row r="21" spans="1:277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4">
        <v>0</v>
      </c>
      <c r="HK21" s="164">
        <v>0</v>
      </c>
      <c r="HL21" s="164">
        <v>5.6458662729999993</v>
      </c>
      <c r="HM21" s="164">
        <v>5.3458163839999999</v>
      </c>
      <c r="HN21" s="164">
        <v>4.9247760969999996</v>
      </c>
      <c r="HO21" s="164">
        <v>51.990565627999999</v>
      </c>
      <c r="HP21" s="164">
        <v>1.4692578089999999</v>
      </c>
      <c r="HQ21" s="164">
        <v>1.014178912</v>
      </c>
      <c r="HR21" s="164">
        <v>0</v>
      </c>
      <c r="HS21" s="164">
        <v>1.5369405870000001</v>
      </c>
      <c r="HT21" s="164">
        <v>0.218313484</v>
      </c>
      <c r="HU21" s="164">
        <v>0</v>
      </c>
      <c r="HV21" s="164">
        <v>0</v>
      </c>
      <c r="HW21" s="164">
        <v>0</v>
      </c>
      <c r="HX21" s="164">
        <v>42.633596231000006</v>
      </c>
      <c r="HY21" s="164">
        <v>6.5987053480000002</v>
      </c>
      <c r="HZ21" s="164">
        <v>0.81168188499999994</v>
      </c>
      <c r="IA21" s="164">
        <v>24.470350301</v>
      </c>
      <c r="IB21" s="164">
        <v>0</v>
      </c>
      <c r="IC21" s="164">
        <v>0</v>
      </c>
      <c r="ID21" s="164">
        <v>0</v>
      </c>
      <c r="IE21" s="164">
        <v>0</v>
      </c>
      <c r="IF21" s="164">
        <v>0</v>
      </c>
      <c r="IG21" s="164">
        <v>0</v>
      </c>
      <c r="IH21" s="164">
        <v>0</v>
      </c>
      <c r="II21" s="164">
        <v>0</v>
      </c>
      <c r="IJ21" s="164">
        <v>66.590111535999995</v>
      </c>
      <c r="IK21" s="164">
        <v>0</v>
      </c>
      <c r="IL21" s="164">
        <v>0</v>
      </c>
      <c r="IM21" s="164">
        <v>0</v>
      </c>
      <c r="IN21" s="164">
        <v>0</v>
      </c>
      <c r="IO21" s="164">
        <v>0</v>
      </c>
      <c r="IP21" s="164">
        <v>0</v>
      </c>
      <c r="IQ21" s="164">
        <v>0</v>
      </c>
      <c r="IR21" s="164">
        <v>0</v>
      </c>
      <c r="IS21" s="164">
        <v>43.553858782000006</v>
      </c>
      <c r="IT21" s="159">
        <v>0</v>
      </c>
      <c r="IU21" s="159">
        <v>0</v>
      </c>
      <c r="IV21" s="159">
        <v>0</v>
      </c>
      <c r="IW21" s="159">
        <v>152.51454167499998</v>
      </c>
      <c r="IX21" s="159">
        <v>0</v>
      </c>
      <c r="IY21" s="159">
        <v>0</v>
      </c>
      <c r="IZ21" s="159">
        <v>0</v>
      </c>
      <c r="JA21" s="159">
        <v>0</v>
      </c>
      <c r="JB21" s="159">
        <v>0</v>
      </c>
      <c r="JC21" s="159">
        <v>0</v>
      </c>
      <c r="JD21" s="159">
        <v>0</v>
      </c>
      <c r="JE21" s="159">
        <v>168.71603500100002</v>
      </c>
      <c r="JF21" s="159">
        <v>0</v>
      </c>
      <c r="JG21" s="159">
        <v>0</v>
      </c>
      <c r="JH21" s="159">
        <v>0</v>
      </c>
      <c r="JI21" s="159">
        <v>0</v>
      </c>
      <c r="JJ21" s="159"/>
      <c r="JK21" s="159"/>
      <c r="JL21" s="159"/>
      <c r="JM21" s="159"/>
      <c r="JN21" s="159"/>
      <c r="JO21" s="159"/>
      <c r="JP21" s="159"/>
      <c r="JQ21" s="159"/>
    </row>
    <row r="22" spans="1:277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4">
        <v>67.485136669999989</v>
      </c>
      <c r="HK22" s="164">
        <v>99.048260083999992</v>
      </c>
      <c r="HL22" s="164">
        <v>215.72061248700004</v>
      </c>
      <c r="HM22" s="164">
        <v>75.282958014999991</v>
      </c>
      <c r="HN22" s="164">
        <v>77.34978315299999</v>
      </c>
      <c r="HO22" s="164">
        <v>236.188731456</v>
      </c>
      <c r="HP22" s="164">
        <v>87.420205406999997</v>
      </c>
      <c r="HQ22" s="164">
        <v>102.708290968</v>
      </c>
      <c r="HR22" s="164">
        <v>99.644892929000008</v>
      </c>
      <c r="HS22" s="164">
        <v>86.381802739000008</v>
      </c>
      <c r="HT22" s="164">
        <v>96.406636575000007</v>
      </c>
      <c r="HU22" s="164">
        <v>198.93146722999998</v>
      </c>
      <c r="HV22" s="164">
        <v>62.932393820999998</v>
      </c>
      <c r="HW22" s="164">
        <v>82.60947037199999</v>
      </c>
      <c r="HX22" s="164">
        <v>112.542139237</v>
      </c>
      <c r="HY22" s="164">
        <v>96.839601072999983</v>
      </c>
      <c r="HZ22" s="164">
        <v>90.012973974000005</v>
      </c>
      <c r="IA22" s="164">
        <v>98.020326653999987</v>
      </c>
      <c r="IB22" s="164">
        <v>95.582703430000009</v>
      </c>
      <c r="IC22" s="164">
        <v>89.712094755999999</v>
      </c>
      <c r="ID22" s="164">
        <v>91.359270210999995</v>
      </c>
      <c r="IE22" s="164">
        <v>157.54816883399999</v>
      </c>
      <c r="IF22" s="164">
        <v>218.00633833200001</v>
      </c>
      <c r="IG22" s="164">
        <v>107.342332588</v>
      </c>
      <c r="IH22" s="164">
        <v>72.084184849999986</v>
      </c>
      <c r="II22" s="164">
        <v>162.73399206100001</v>
      </c>
      <c r="IJ22" s="164">
        <v>112.564480199</v>
      </c>
      <c r="IK22" s="164">
        <v>107.96122883199999</v>
      </c>
      <c r="IL22" s="164">
        <v>110.49958757600001</v>
      </c>
      <c r="IM22" s="164">
        <v>142.31884875599999</v>
      </c>
      <c r="IN22" s="164">
        <v>102.59623418500001</v>
      </c>
      <c r="IO22" s="164">
        <v>48.431582518999996</v>
      </c>
      <c r="IP22" s="164">
        <v>159.46169773599999</v>
      </c>
      <c r="IQ22" s="164">
        <v>101.52181302599999</v>
      </c>
      <c r="IR22" s="164">
        <v>103.06697342700001</v>
      </c>
      <c r="IS22" s="164">
        <v>185.97749078199999</v>
      </c>
      <c r="IT22" s="159">
        <v>78.857607354999999</v>
      </c>
      <c r="IU22" s="159">
        <v>94.338037845000002</v>
      </c>
      <c r="IV22" s="159">
        <v>58.036961450999996</v>
      </c>
      <c r="IW22" s="159">
        <v>168.69276188400002</v>
      </c>
      <c r="IX22" s="159">
        <v>155.119391001</v>
      </c>
      <c r="IY22" s="159">
        <v>115.63039133999999</v>
      </c>
      <c r="IZ22" s="159">
        <v>218.15102367999998</v>
      </c>
      <c r="JA22" s="159">
        <v>134.41775599900001</v>
      </c>
      <c r="JB22" s="159">
        <v>133.323971091</v>
      </c>
      <c r="JC22" s="159">
        <v>120.56982903500001</v>
      </c>
      <c r="JD22" s="159">
        <v>94.520956476999999</v>
      </c>
      <c r="JE22" s="159">
        <v>180.80072432100002</v>
      </c>
      <c r="JF22" s="159">
        <v>115.04703441599999</v>
      </c>
      <c r="JG22" s="159">
        <v>133.63602569</v>
      </c>
      <c r="JH22" s="159">
        <v>163.923467147</v>
      </c>
      <c r="JI22" s="159">
        <v>106.009985837</v>
      </c>
      <c r="JJ22" s="159"/>
      <c r="JK22" s="159"/>
      <c r="JL22" s="159"/>
      <c r="JM22" s="159"/>
      <c r="JN22" s="159"/>
      <c r="JO22" s="159"/>
      <c r="JP22" s="159"/>
      <c r="JQ22" s="159"/>
    </row>
    <row r="23" spans="1:277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4">
        <v>67.485136669999989</v>
      </c>
      <c r="HK23" s="164">
        <v>99.048260083999992</v>
      </c>
      <c r="HL23" s="164">
        <v>215.72061248700004</v>
      </c>
      <c r="HM23" s="164">
        <v>75.282958014999991</v>
      </c>
      <c r="HN23" s="164">
        <v>77.34978315299999</v>
      </c>
      <c r="HO23" s="164">
        <v>236.188731456</v>
      </c>
      <c r="HP23" s="164">
        <v>87.420205406999997</v>
      </c>
      <c r="HQ23" s="164">
        <v>102.708290968</v>
      </c>
      <c r="HR23" s="164">
        <v>99.644892929000008</v>
      </c>
      <c r="HS23" s="164">
        <v>86.381802739000008</v>
      </c>
      <c r="HT23" s="164">
        <v>96.406636575000007</v>
      </c>
      <c r="HU23" s="164">
        <v>198.93146722999998</v>
      </c>
      <c r="HV23" s="164">
        <v>62.932393820999998</v>
      </c>
      <c r="HW23" s="164">
        <v>82.60947037199999</v>
      </c>
      <c r="HX23" s="164">
        <v>112.542139237</v>
      </c>
      <c r="HY23" s="164">
        <v>96.839601072999983</v>
      </c>
      <c r="HZ23" s="164">
        <v>90.012973974000005</v>
      </c>
      <c r="IA23" s="164">
        <v>98.020326653999987</v>
      </c>
      <c r="IB23" s="164">
        <v>95.582703430000009</v>
      </c>
      <c r="IC23" s="164">
        <v>89.712094755999999</v>
      </c>
      <c r="ID23" s="164">
        <v>91.359270210999995</v>
      </c>
      <c r="IE23" s="164">
        <v>157.54816883399999</v>
      </c>
      <c r="IF23" s="164">
        <v>218.00633833200001</v>
      </c>
      <c r="IG23" s="164">
        <v>107.342332588</v>
      </c>
      <c r="IH23" s="164">
        <v>72.084184849999986</v>
      </c>
      <c r="II23" s="164">
        <v>162.73399206100001</v>
      </c>
      <c r="IJ23" s="164">
        <v>112.564480199</v>
      </c>
      <c r="IK23" s="164">
        <v>107.96122883199999</v>
      </c>
      <c r="IL23" s="164">
        <v>110.49958757600001</v>
      </c>
      <c r="IM23" s="164">
        <v>142.31884875599999</v>
      </c>
      <c r="IN23" s="164">
        <v>102.59623418500001</v>
      </c>
      <c r="IO23" s="164">
        <v>48.431582518999996</v>
      </c>
      <c r="IP23" s="164">
        <v>159.46169773599999</v>
      </c>
      <c r="IQ23" s="164">
        <v>101.52181302599999</v>
      </c>
      <c r="IR23" s="164">
        <v>103.06697342700001</v>
      </c>
      <c r="IS23" s="164">
        <v>185.97749078199999</v>
      </c>
      <c r="IT23" s="159">
        <v>78.857607354999999</v>
      </c>
      <c r="IU23" s="159">
        <v>94.338037845000002</v>
      </c>
      <c r="IV23" s="159">
        <v>58.036961450999996</v>
      </c>
      <c r="IW23" s="159">
        <v>168.69276188400002</v>
      </c>
      <c r="IX23" s="159">
        <v>155.119391001</v>
      </c>
      <c r="IY23" s="159">
        <v>115.63039133999999</v>
      </c>
      <c r="IZ23" s="159">
        <v>218.15102367999998</v>
      </c>
      <c r="JA23" s="159">
        <v>134.41775599900001</v>
      </c>
      <c r="JB23" s="159">
        <v>133.323971091</v>
      </c>
      <c r="JC23" s="159">
        <v>120.56982903500001</v>
      </c>
      <c r="JD23" s="159">
        <v>94.520956476999999</v>
      </c>
      <c r="JE23" s="159">
        <v>180.80072432100002</v>
      </c>
      <c r="JF23" s="159">
        <v>115.04703441599999</v>
      </c>
      <c r="JG23" s="159">
        <v>133.63602569</v>
      </c>
      <c r="JH23" s="159">
        <v>163.923467147</v>
      </c>
      <c r="JI23" s="159">
        <v>106.009985837</v>
      </c>
      <c r="JJ23" s="159"/>
      <c r="JK23" s="159"/>
      <c r="JL23" s="159"/>
      <c r="JM23" s="159"/>
      <c r="JN23" s="159"/>
      <c r="JO23" s="159"/>
      <c r="JP23" s="159"/>
      <c r="JQ23" s="159"/>
    </row>
    <row r="24" spans="1:277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4">
        <v>0</v>
      </c>
      <c r="HK24" s="164">
        <v>0</v>
      </c>
      <c r="HL24" s="164">
        <v>0</v>
      </c>
      <c r="HM24" s="164">
        <v>0</v>
      </c>
      <c r="HN24" s="164">
        <v>0</v>
      </c>
      <c r="HO24" s="164">
        <v>0</v>
      </c>
      <c r="HP24" s="164">
        <v>0</v>
      </c>
      <c r="HQ24" s="164">
        <v>0</v>
      </c>
      <c r="HR24" s="164">
        <v>0</v>
      </c>
      <c r="HS24" s="164">
        <v>0</v>
      </c>
      <c r="HT24" s="164">
        <v>0</v>
      </c>
      <c r="HU24" s="164">
        <v>0</v>
      </c>
      <c r="HV24" s="164">
        <v>0</v>
      </c>
      <c r="HW24" s="164">
        <v>0</v>
      </c>
      <c r="HX24" s="164">
        <v>0</v>
      </c>
      <c r="HY24" s="164">
        <v>0</v>
      </c>
      <c r="HZ24" s="164">
        <v>0</v>
      </c>
      <c r="IA24" s="164">
        <v>0</v>
      </c>
      <c r="IB24" s="164">
        <v>0</v>
      </c>
      <c r="IC24" s="164">
        <v>0</v>
      </c>
      <c r="ID24" s="164">
        <v>0</v>
      </c>
      <c r="IE24" s="164">
        <v>0</v>
      </c>
      <c r="IF24" s="164">
        <v>0</v>
      </c>
      <c r="IG24" s="164">
        <v>0</v>
      </c>
      <c r="IH24" s="164">
        <v>0</v>
      </c>
      <c r="II24" s="164">
        <v>0</v>
      </c>
      <c r="IJ24" s="164">
        <v>0</v>
      </c>
      <c r="IK24" s="164">
        <v>0</v>
      </c>
      <c r="IL24" s="164">
        <v>0</v>
      </c>
      <c r="IM24" s="164">
        <v>0</v>
      </c>
      <c r="IN24" s="164">
        <v>0</v>
      </c>
      <c r="IO24" s="164">
        <v>0</v>
      </c>
      <c r="IP24" s="164">
        <v>0</v>
      </c>
      <c r="IQ24" s="164">
        <v>0</v>
      </c>
      <c r="IR24" s="164">
        <v>0</v>
      </c>
      <c r="IS24" s="164">
        <v>0</v>
      </c>
      <c r="IT24" s="159">
        <v>0</v>
      </c>
      <c r="IU24" s="159">
        <v>0</v>
      </c>
      <c r="IV24" s="159">
        <v>0</v>
      </c>
      <c r="IW24" s="159">
        <v>0</v>
      </c>
      <c r="IX24" s="159">
        <v>0</v>
      </c>
      <c r="IY24" s="159">
        <v>0</v>
      </c>
      <c r="IZ24" s="159">
        <v>0</v>
      </c>
      <c r="JA24" s="159">
        <v>0</v>
      </c>
      <c r="JB24" s="159">
        <v>0</v>
      </c>
      <c r="JC24" s="159">
        <v>0</v>
      </c>
      <c r="JD24" s="159">
        <v>0</v>
      </c>
      <c r="JE24" s="159">
        <v>0</v>
      </c>
      <c r="JF24" s="159">
        <v>0</v>
      </c>
      <c r="JG24" s="159">
        <v>0</v>
      </c>
      <c r="JH24" s="159">
        <v>0</v>
      </c>
      <c r="JI24" s="159">
        <v>0</v>
      </c>
      <c r="JJ24" s="159"/>
      <c r="JK24" s="159"/>
      <c r="JL24" s="159"/>
      <c r="JM24" s="159"/>
      <c r="JN24" s="159"/>
      <c r="JO24" s="159"/>
      <c r="JP24" s="159"/>
      <c r="JQ24" s="159"/>
    </row>
    <row r="25" spans="1:277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4">
        <v>796.14211835899994</v>
      </c>
      <c r="HK25" s="164">
        <v>424.83907140100001</v>
      </c>
      <c r="HL25" s="164">
        <v>378.938332753</v>
      </c>
      <c r="HM25" s="164">
        <v>417.79623360799997</v>
      </c>
      <c r="HN25" s="164">
        <v>376.43770936800001</v>
      </c>
      <c r="HO25" s="164">
        <v>512.50114119099999</v>
      </c>
      <c r="HP25" s="164">
        <v>453.59931008400008</v>
      </c>
      <c r="HQ25" s="164">
        <v>398.97187653700001</v>
      </c>
      <c r="HR25" s="164">
        <v>492.66348668699999</v>
      </c>
      <c r="HS25" s="164">
        <v>433.04462822500005</v>
      </c>
      <c r="HT25" s="164">
        <v>432.14918380800003</v>
      </c>
      <c r="HU25" s="164">
        <v>965.86264640099989</v>
      </c>
      <c r="HV25" s="164">
        <v>407.30629635500003</v>
      </c>
      <c r="HW25" s="164">
        <v>359.80066432400002</v>
      </c>
      <c r="HX25" s="164">
        <v>554.27535932199999</v>
      </c>
      <c r="HY25" s="164">
        <v>493.12158003299999</v>
      </c>
      <c r="HZ25" s="164">
        <v>501.89858613199999</v>
      </c>
      <c r="IA25" s="164">
        <v>477.91873445300001</v>
      </c>
      <c r="IB25" s="164">
        <v>451.70234350799996</v>
      </c>
      <c r="IC25" s="164">
        <v>455.95278287699995</v>
      </c>
      <c r="ID25" s="164">
        <v>526.04486080300001</v>
      </c>
      <c r="IE25" s="164">
        <v>462.29721838699999</v>
      </c>
      <c r="IF25" s="164">
        <v>466.32164651400001</v>
      </c>
      <c r="IG25" s="164">
        <v>768.18842342199991</v>
      </c>
      <c r="IH25" s="164">
        <v>491.91573394099998</v>
      </c>
      <c r="II25" s="164">
        <v>405.35622220900001</v>
      </c>
      <c r="IJ25" s="164">
        <v>530.69020682000007</v>
      </c>
      <c r="IK25" s="164">
        <v>447.28351804300002</v>
      </c>
      <c r="IL25" s="164">
        <v>465.37877187299995</v>
      </c>
      <c r="IM25" s="164">
        <v>661.96603222299996</v>
      </c>
      <c r="IN25" s="164">
        <v>662.15027536900004</v>
      </c>
      <c r="IO25" s="164">
        <v>574.18628884700001</v>
      </c>
      <c r="IP25" s="164">
        <v>459.37940612699998</v>
      </c>
      <c r="IQ25" s="164">
        <v>576.1389678490001</v>
      </c>
      <c r="IR25" s="164">
        <v>489.32226712699998</v>
      </c>
      <c r="IS25" s="164">
        <v>908.92925665799999</v>
      </c>
      <c r="IT25" s="159">
        <v>513.55262719699999</v>
      </c>
      <c r="IU25" s="159">
        <v>468.03670581200004</v>
      </c>
      <c r="IV25" s="159">
        <v>421.86779088600002</v>
      </c>
      <c r="IW25" s="159">
        <v>638.06314163599995</v>
      </c>
      <c r="IX25" s="159">
        <v>598.36852446299997</v>
      </c>
      <c r="IY25" s="159">
        <v>1373.1038041090003</v>
      </c>
      <c r="IZ25" s="159">
        <v>566.74934859599989</v>
      </c>
      <c r="JA25" s="159">
        <v>487.54473241199997</v>
      </c>
      <c r="JB25" s="159">
        <v>515.28432456600001</v>
      </c>
      <c r="JC25" s="159">
        <v>623.47906353600001</v>
      </c>
      <c r="JD25" s="159">
        <v>544.50578418000009</v>
      </c>
      <c r="JE25" s="159">
        <v>744.91204974100003</v>
      </c>
      <c r="JF25" s="159">
        <v>564.83216431899996</v>
      </c>
      <c r="JG25" s="159">
        <v>727.74188087499988</v>
      </c>
      <c r="JH25" s="159">
        <v>531.08330049000006</v>
      </c>
      <c r="JI25" s="159">
        <v>462.79931831700003</v>
      </c>
      <c r="JJ25" s="159"/>
      <c r="JK25" s="159"/>
      <c r="JL25" s="159"/>
      <c r="JM25" s="159"/>
      <c r="JN25" s="159"/>
      <c r="JO25" s="159"/>
      <c r="JP25" s="159"/>
      <c r="JQ25" s="159"/>
    </row>
    <row r="26" spans="1:277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4">
        <v>259.91872173499996</v>
      </c>
      <c r="HK26" s="164">
        <v>218.73110439500002</v>
      </c>
      <c r="HL26" s="164">
        <v>191.83317939</v>
      </c>
      <c r="HM26" s="164">
        <v>211.97194859100003</v>
      </c>
      <c r="HN26" s="164">
        <v>195.05666125499999</v>
      </c>
      <c r="HO26" s="164">
        <v>204.85966571199998</v>
      </c>
      <c r="HP26" s="164">
        <v>177.97167341900001</v>
      </c>
      <c r="HQ26" s="164">
        <v>204.37306706600003</v>
      </c>
      <c r="HR26" s="164">
        <v>211.72937628</v>
      </c>
      <c r="HS26" s="164">
        <v>196.276128263</v>
      </c>
      <c r="HT26" s="164">
        <v>214.747803753</v>
      </c>
      <c r="HU26" s="164">
        <v>385.93251309799996</v>
      </c>
      <c r="HV26" s="164">
        <v>182.30352993599999</v>
      </c>
      <c r="HW26" s="164">
        <v>190.36795605099999</v>
      </c>
      <c r="HX26" s="164">
        <v>268.715843355</v>
      </c>
      <c r="HY26" s="164">
        <v>194.96826913199999</v>
      </c>
      <c r="HZ26" s="164">
        <v>194.172676854</v>
      </c>
      <c r="IA26" s="164">
        <v>215.085880159</v>
      </c>
      <c r="IB26" s="164">
        <v>225.21815236200001</v>
      </c>
      <c r="IC26" s="164">
        <v>205.92538679899997</v>
      </c>
      <c r="ID26" s="164">
        <v>212.71597249600001</v>
      </c>
      <c r="IE26" s="164">
        <v>217.03539656699999</v>
      </c>
      <c r="IF26" s="164">
        <v>198.265584421</v>
      </c>
      <c r="IG26" s="164">
        <v>268.705542756</v>
      </c>
      <c r="IH26" s="164">
        <v>292.74417896400001</v>
      </c>
      <c r="II26" s="164">
        <v>253.99945426699998</v>
      </c>
      <c r="IJ26" s="164">
        <v>225.55060340600005</v>
      </c>
      <c r="IK26" s="164">
        <v>224.75239933700001</v>
      </c>
      <c r="IL26" s="164">
        <v>232.66533174399999</v>
      </c>
      <c r="IM26" s="164">
        <v>294.760876129</v>
      </c>
      <c r="IN26" s="164">
        <v>305.73081662599998</v>
      </c>
      <c r="IO26" s="164">
        <v>295.39513287099999</v>
      </c>
      <c r="IP26" s="164">
        <v>239.48414490599998</v>
      </c>
      <c r="IQ26" s="164">
        <v>261.50972401000001</v>
      </c>
      <c r="IR26" s="164">
        <v>277.39694112799998</v>
      </c>
      <c r="IS26" s="164">
        <v>374.33876594100002</v>
      </c>
      <c r="IT26" s="159">
        <v>241.84155352400001</v>
      </c>
      <c r="IU26" s="159">
        <v>252.19796006600004</v>
      </c>
      <c r="IV26" s="159">
        <v>266.05550484000003</v>
      </c>
      <c r="IW26" s="159">
        <v>243.67858527300001</v>
      </c>
      <c r="IX26" s="159">
        <v>174.11222708100001</v>
      </c>
      <c r="IY26" s="159">
        <v>229.74617377100003</v>
      </c>
      <c r="IZ26" s="159">
        <v>631.07370862599987</v>
      </c>
      <c r="JA26" s="159">
        <v>185.457041129</v>
      </c>
      <c r="JB26" s="159">
        <v>191.68398141899999</v>
      </c>
      <c r="JC26" s="159">
        <v>197.75372221600003</v>
      </c>
      <c r="JD26" s="159">
        <v>198.15137295900001</v>
      </c>
      <c r="JE26" s="159">
        <v>218.478294979</v>
      </c>
      <c r="JF26" s="159">
        <v>412.04930942799996</v>
      </c>
      <c r="JG26" s="159">
        <v>476.34214857599994</v>
      </c>
      <c r="JH26" s="159">
        <v>310.97754776900001</v>
      </c>
      <c r="JI26" s="159">
        <v>281.813554318</v>
      </c>
      <c r="JJ26" s="159"/>
      <c r="JK26" s="159"/>
      <c r="JL26" s="159"/>
      <c r="JM26" s="159"/>
      <c r="JN26" s="159"/>
      <c r="JO26" s="159"/>
      <c r="JP26" s="159"/>
      <c r="JQ26" s="159"/>
    </row>
    <row r="27" spans="1:277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6">
        <v>129.34455217499999</v>
      </c>
      <c r="HK27" s="166">
        <v>155.63550399200003</v>
      </c>
      <c r="HL27" s="166">
        <v>132.035527419</v>
      </c>
      <c r="HM27" s="166">
        <v>130.287090823</v>
      </c>
      <c r="HN27" s="166">
        <v>128.92764168299999</v>
      </c>
      <c r="HO27" s="166">
        <v>115.584628115</v>
      </c>
      <c r="HP27" s="166">
        <v>119.04113331599999</v>
      </c>
      <c r="HQ27" s="166">
        <v>111.74874482200001</v>
      </c>
      <c r="HR27" s="166">
        <v>162.431001673</v>
      </c>
      <c r="HS27" s="166">
        <v>130.63645739600003</v>
      </c>
      <c r="HT27" s="166">
        <v>137.72462613900001</v>
      </c>
      <c r="HU27" s="166">
        <v>208.34047520499996</v>
      </c>
      <c r="HV27" s="166">
        <v>121.605148246</v>
      </c>
      <c r="HW27" s="166">
        <v>140.720108248</v>
      </c>
      <c r="HX27" s="166">
        <v>219.55130280999998</v>
      </c>
      <c r="HY27" s="166">
        <v>138.17510305299999</v>
      </c>
      <c r="HZ27" s="166">
        <v>160.70479449800001</v>
      </c>
      <c r="IA27" s="166">
        <v>143.71519649800001</v>
      </c>
      <c r="IB27" s="166">
        <v>123.695375508</v>
      </c>
      <c r="IC27" s="166">
        <v>144.11415791399997</v>
      </c>
      <c r="ID27" s="166">
        <v>157.07946448500002</v>
      </c>
      <c r="IE27" s="166">
        <v>148.87890346699999</v>
      </c>
      <c r="IF27" s="166">
        <v>149.61595751199999</v>
      </c>
      <c r="IG27" s="166">
        <v>157.04321631300002</v>
      </c>
      <c r="IH27" s="166">
        <v>166.37050471000001</v>
      </c>
      <c r="II27" s="166">
        <v>189.06577240899998</v>
      </c>
      <c r="IJ27" s="166">
        <v>160.71202957700001</v>
      </c>
      <c r="IK27" s="166">
        <v>162.55622275100004</v>
      </c>
      <c r="IL27" s="166">
        <v>175.729026215</v>
      </c>
      <c r="IM27" s="166">
        <v>170.20407196299999</v>
      </c>
      <c r="IN27" s="166">
        <v>240.70797901900002</v>
      </c>
      <c r="IO27" s="166">
        <v>189.20951847199998</v>
      </c>
      <c r="IP27" s="166">
        <v>163.75296919899998</v>
      </c>
      <c r="IQ27" s="166">
        <v>193.90263317200001</v>
      </c>
      <c r="IR27" s="166">
        <v>193.68975670199998</v>
      </c>
      <c r="IS27" s="166">
        <v>207.056588877</v>
      </c>
      <c r="IT27" s="161">
        <v>166.63857347999999</v>
      </c>
      <c r="IU27" s="161">
        <v>186.157920717</v>
      </c>
      <c r="IV27" s="161">
        <v>198.856834478</v>
      </c>
      <c r="IW27" s="161">
        <v>178.57500066399999</v>
      </c>
      <c r="IX27" s="161">
        <v>168.53982335500001</v>
      </c>
      <c r="IY27" s="161">
        <v>162.734087905</v>
      </c>
      <c r="IZ27" s="161">
        <v>579.475869708</v>
      </c>
      <c r="JA27" s="161">
        <v>161.26296316400001</v>
      </c>
      <c r="JB27" s="161">
        <v>165.23137794300001</v>
      </c>
      <c r="JC27" s="161">
        <v>186.97751721700001</v>
      </c>
      <c r="JD27" s="161">
        <v>171.502289147</v>
      </c>
      <c r="JE27" s="161">
        <v>174.67722484699999</v>
      </c>
      <c r="JF27" s="161">
        <v>333.22392115199995</v>
      </c>
      <c r="JG27" s="161">
        <v>470.96047819999995</v>
      </c>
      <c r="JH27" s="161">
        <v>300.69267315500002</v>
      </c>
      <c r="JI27" s="161">
        <v>276.34434612900003</v>
      </c>
      <c r="JJ27" s="161"/>
      <c r="JK27" s="161"/>
      <c r="JL27" s="161"/>
      <c r="JM27" s="161"/>
      <c r="JN27" s="161"/>
      <c r="JO27" s="161"/>
      <c r="JP27" s="161"/>
      <c r="JQ27" s="161"/>
    </row>
    <row r="28" spans="1:277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4">
        <v>130.57416955999997</v>
      </c>
      <c r="HK28" s="164">
        <v>63.09560040300002</v>
      </c>
      <c r="HL28" s="164">
        <v>59.797651971000015</v>
      </c>
      <c r="HM28" s="164">
        <v>81.684857768000015</v>
      </c>
      <c r="HN28" s="164">
        <v>66.12901957199999</v>
      </c>
      <c r="HO28" s="164">
        <v>89.275037596999994</v>
      </c>
      <c r="HP28" s="164">
        <v>58.930540103000006</v>
      </c>
      <c r="HQ28" s="164">
        <v>92.624322244000012</v>
      </c>
      <c r="HR28" s="164">
        <v>49.298374607000007</v>
      </c>
      <c r="HS28" s="164">
        <v>65.639670867000007</v>
      </c>
      <c r="HT28" s="164">
        <v>77.023177613999991</v>
      </c>
      <c r="HU28" s="164">
        <v>177.592037893</v>
      </c>
      <c r="HV28" s="164">
        <v>60.698381690000012</v>
      </c>
      <c r="HW28" s="164">
        <v>49.647847802999983</v>
      </c>
      <c r="HX28" s="164">
        <v>49.164540545000023</v>
      </c>
      <c r="HY28" s="164">
        <v>56.793166078999988</v>
      </c>
      <c r="HZ28" s="164">
        <v>33.467882356000018</v>
      </c>
      <c r="IA28" s="164">
        <v>71.370683661000015</v>
      </c>
      <c r="IB28" s="164">
        <v>101.522776854</v>
      </c>
      <c r="IC28" s="164">
        <v>61.811228884999991</v>
      </c>
      <c r="ID28" s="164">
        <v>55.636508010999997</v>
      </c>
      <c r="IE28" s="164">
        <v>68.15649310000002</v>
      </c>
      <c r="IF28" s="164">
        <v>48.649626909000013</v>
      </c>
      <c r="IG28" s="164">
        <v>111.662326443</v>
      </c>
      <c r="IH28" s="164">
        <v>126.37367425399995</v>
      </c>
      <c r="II28" s="164">
        <v>64.933681858</v>
      </c>
      <c r="IJ28" s="164">
        <v>64.838573829000026</v>
      </c>
      <c r="IK28" s="164">
        <v>62.196176586000014</v>
      </c>
      <c r="IL28" s="164">
        <v>56.936305529000002</v>
      </c>
      <c r="IM28" s="164">
        <v>124.55680416599999</v>
      </c>
      <c r="IN28" s="164">
        <v>65.022837606999971</v>
      </c>
      <c r="IO28" s="164">
        <v>106.18561439899999</v>
      </c>
      <c r="IP28" s="164">
        <v>75.731175706999991</v>
      </c>
      <c r="IQ28" s="164">
        <v>67.607090838000005</v>
      </c>
      <c r="IR28" s="164">
        <v>83.707184425999998</v>
      </c>
      <c r="IS28" s="164">
        <v>167.28217706399997</v>
      </c>
      <c r="IT28" s="159">
        <v>75.202980044</v>
      </c>
      <c r="IU28" s="159">
        <v>66.040039349000025</v>
      </c>
      <c r="IV28" s="159">
        <v>67.198670362000001</v>
      </c>
      <c r="IW28" s="159">
        <v>65.103584609000009</v>
      </c>
      <c r="IX28" s="159">
        <v>5.5724037259999895</v>
      </c>
      <c r="IY28" s="159">
        <v>67.012085866000007</v>
      </c>
      <c r="IZ28" s="159">
        <v>51.59783891799988</v>
      </c>
      <c r="JA28" s="159">
        <v>24.194077965000005</v>
      </c>
      <c r="JB28" s="159">
        <v>26.452603476000018</v>
      </c>
      <c r="JC28" s="159">
        <v>10.776204999000008</v>
      </c>
      <c r="JD28" s="159">
        <v>26.649083811999997</v>
      </c>
      <c r="JE28" s="159">
        <v>43.801070132000021</v>
      </c>
      <c r="JF28" s="159">
        <v>78.825388275999984</v>
      </c>
      <c r="JG28" s="159">
        <v>5.3816703759999944</v>
      </c>
      <c r="JH28" s="159">
        <v>10.28487461400003</v>
      </c>
      <c r="JI28" s="159">
        <v>5.4692081889999677</v>
      </c>
      <c r="JJ28" s="159"/>
      <c r="JK28" s="159"/>
      <c r="JL28" s="159"/>
      <c r="JM28" s="159"/>
      <c r="JN28" s="159"/>
      <c r="JO28" s="159"/>
      <c r="JP28" s="159"/>
      <c r="JQ28" s="159"/>
    </row>
    <row r="29" spans="1:277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4">
        <v>133.68196651400001</v>
      </c>
      <c r="HK29" s="164">
        <v>161.82979137500001</v>
      </c>
      <c r="HL29" s="164">
        <v>173.21870353499997</v>
      </c>
      <c r="HM29" s="164">
        <v>163.85546116299997</v>
      </c>
      <c r="HN29" s="164">
        <v>150.80695566899999</v>
      </c>
      <c r="HO29" s="164">
        <v>164.462491333</v>
      </c>
      <c r="HP29" s="164">
        <v>198.23015065000001</v>
      </c>
      <c r="HQ29" s="164">
        <v>155.768709935</v>
      </c>
      <c r="HR29" s="164">
        <v>214.97694817200002</v>
      </c>
      <c r="HS29" s="164">
        <v>186.076656329</v>
      </c>
      <c r="HT29" s="164">
        <v>174.28302650000001</v>
      </c>
      <c r="HU29" s="164">
        <v>221.37050150100001</v>
      </c>
      <c r="HV29" s="164">
        <v>221.75073243899999</v>
      </c>
      <c r="HW29" s="164">
        <v>162.72662253000001</v>
      </c>
      <c r="HX29" s="164">
        <v>271.22546287199998</v>
      </c>
      <c r="HY29" s="164">
        <v>183.34028942099999</v>
      </c>
      <c r="HZ29" s="164">
        <v>216.43665375499998</v>
      </c>
      <c r="IA29" s="164">
        <v>198.51759183099998</v>
      </c>
      <c r="IB29" s="164">
        <v>180.70500549399995</v>
      </c>
      <c r="IC29" s="164">
        <v>201.674248562</v>
      </c>
      <c r="ID29" s="164">
        <v>274.45956372299997</v>
      </c>
      <c r="IE29" s="164">
        <v>213.76215403</v>
      </c>
      <c r="IF29" s="164">
        <v>233.72456317999999</v>
      </c>
      <c r="IG29" s="164">
        <v>244.51083553200002</v>
      </c>
      <c r="IH29" s="164">
        <v>192.73824389000001</v>
      </c>
      <c r="II29" s="164">
        <v>141.128896567</v>
      </c>
      <c r="IJ29" s="164">
        <v>291.13688149899997</v>
      </c>
      <c r="IK29" s="164">
        <v>184.084306086</v>
      </c>
      <c r="IL29" s="164">
        <v>207.89125955199998</v>
      </c>
      <c r="IM29" s="164">
        <v>201.85332927700003</v>
      </c>
      <c r="IN29" s="164">
        <v>302.51046200300004</v>
      </c>
      <c r="IO29" s="164">
        <v>241.91479683100002</v>
      </c>
      <c r="IP29" s="164">
        <v>201.90354255199998</v>
      </c>
      <c r="IQ29" s="164">
        <v>288.74648951</v>
      </c>
      <c r="IR29" s="164">
        <v>180.683101411</v>
      </c>
      <c r="IS29" s="164">
        <v>324.676279808</v>
      </c>
      <c r="IT29" s="159">
        <v>264.71724086</v>
      </c>
      <c r="IU29" s="159">
        <v>203.855445291</v>
      </c>
      <c r="IV29" s="159">
        <v>136.902177768</v>
      </c>
      <c r="IW29" s="159">
        <v>310.51190464000001</v>
      </c>
      <c r="IX29" s="159">
        <v>259.43339054299997</v>
      </c>
      <c r="IY29" s="159">
        <v>1106.8359399480003</v>
      </c>
      <c r="IZ29" s="159">
        <v>-146.12194007199994</v>
      </c>
      <c r="JA29" s="159">
        <v>272.71140211099998</v>
      </c>
      <c r="JB29" s="159">
        <v>290.661406172</v>
      </c>
      <c r="JC29" s="159">
        <v>382.39863031200002</v>
      </c>
      <c r="JD29" s="159">
        <v>305.87301428100005</v>
      </c>
      <c r="JE29" s="159">
        <v>346.50095741499996</v>
      </c>
      <c r="JF29" s="159">
        <v>137.760662997</v>
      </c>
      <c r="JG29" s="159">
        <v>224.24815347000001</v>
      </c>
      <c r="JH29" s="159">
        <v>163.29821224599999</v>
      </c>
      <c r="JI29" s="159">
        <v>147.53938821300002</v>
      </c>
      <c r="JJ29" s="159"/>
      <c r="JK29" s="159"/>
      <c r="JL29" s="159"/>
      <c r="JM29" s="159"/>
      <c r="JN29" s="159"/>
      <c r="JO29" s="159"/>
      <c r="JP29" s="159"/>
      <c r="JQ29" s="159"/>
    </row>
    <row r="30" spans="1:277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4">
        <v>58.889473811000002</v>
      </c>
      <c r="HK30" s="164">
        <v>60.207409268000006</v>
      </c>
      <c r="HL30" s="164">
        <v>53.670452429999997</v>
      </c>
      <c r="HM30" s="164">
        <v>65.454925552999995</v>
      </c>
      <c r="HN30" s="164">
        <v>48.401431700000003</v>
      </c>
      <c r="HO30" s="164">
        <v>43.134576957</v>
      </c>
      <c r="HP30" s="164">
        <v>88.247982499999992</v>
      </c>
      <c r="HQ30" s="164">
        <v>39.509312711999996</v>
      </c>
      <c r="HR30" s="164">
        <v>96.418473372000008</v>
      </c>
      <c r="HS30" s="164">
        <v>68.531983366000006</v>
      </c>
      <c r="HT30" s="164">
        <v>53.915864033000005</v>
      </c>
      <c r="HU30" s="164">
        <v>71.756035335000007</v>
      </c>
      <c r="HV30" s="164">
        <v>116.838972883</v>
      </c>
      <c r="HW30" s="164">
        <v>51.711051343000001</v>
      </c>
      <c r="HX30" s="164">
        <v>128.87679800000001</v>
      </c>
      <c r="HY30" s="164">
        <v>65.645176014</v>
      </c>
      <c r="HZ30" s="164">
        <v>98.932687089999988</v>
      </c>
      <c r="IA30" s="164">
        <v>71.320325772999993</v>
      </c>
      <c r="IB30" s="164">
        <v>53.905637566999999</v>
      </c>
      <c r="IC30" s="164">
        <v>72.727764180999998</v>
      </c>
      <c r="ID30" s="164">
        <v>82.201665011999992</v>
      </c>
      <c r="IE30" s="164">
        <v>79.19133300499999</v>
      </c>
      <c r="IF30" s="164">
        <v>75.662585051999997</v>
      </c>
      <c r="IG30" s="164">
        <v>91.952377131000006</v>
      </c>
      <c r="IH30" s="164">
        <v>80.340349242000002</v>
      </c>
      <c r="II30" s="164">
        <v>26.54330878</v>
      </c>
      <c r="IJ30" s="164">
        <v>127.12307939899999</v>
      </c>
      <c r="IK30" s="164">
        <v>73.890192271000004</v>
      </c>
      <c r="IL30" s="164">
        <v>84.579648706</v>
      </c>
      <c r="IM30" s="164">
        <v>76.998602027000004</v>
      </c>
      <c r="IN30" s="164">
        <v>155.02277856800001</v>
      </c>
      <c r="IO30" s="164">
        <v>91.699884381999993</v>
      </c>
      <c r="IP30" s="164">
        <v>67.447626024000002</v>
      </c>
      <c r="IQ30" s="164">
        <v>142.550810251</v>
      </c>
      <c r="IR30" s="164">
        <v>57.667547211000006</v>
      </c>
      <c r="IS30" s="164">
        <v>22.212598332000002</v>
      </c>
      <c r="IT30" s="159">
        <v>155.99655390699999</v>
      </c>
      <c r="IU30" s="159">
        <v>78.298533974999998</v>
      </c>
      <c r="IV30" s="159">
        <v>30.205820531000001</v>
      </c>
      <c r="IW30" s="159">
        <v>55.440421448000002</v>
      </c>
      <c r="IX30" s="159">
        <v>107.164288677</v>
      </c>
      <c r="IY30" s="159">
        <v>975.26797809700008</v>
      </c>
      <c r="IZ30" s="159">
        <v>-204.16688616400003</v>
      </c>
      <c r="JA30" s="159">
        <v>149.34711538799999</v>
      </c>
      <c r="JB30" s="159">
        <v>150.009744474</v>
      </c>
      <c r="JC30" s="159">
        <v>174.72579599899998</v>
      </c>
      <c r="JD30" s="159">
        <v>155.80355618199999</v>
      </c>
      <c r="JE30" s="159">
        <v>149.38930634099998</v>
      </c>
      <c r="JF30" s="159">
        <v>0</v>
      </c>
      <c r="JG30" s="159">
        <v>93.609066200000001</v>
      </c>
      <c r="JH30" s="159">
        <v>6.4608088109999997</v>
      </c>
      <c r="JI30" s="159">
        <v>7.0210299000000003</v>
      </c>
      <c r="JJ30" s="159"/>
      <c r="JK30" s="159"/>
      <c r="JL30" s="159"/>
      <c r="JM30" s="159"/>
      <c r="JN30" s="159"/>
      <c r="JO30" s="159"/>
      <c r="JP30" s="159"/>
      <c r="JQ30" s="159"/>
    </row>
    <row r="31" spans="1:277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4">
        <v>74.792492703000008</v>
      </c>
      <c r="HK31" s="164">
        <v>101.62238210700001</v>
      </c>
      <c r="HL31" s="164">
        <v>119.54825110499998</v>
      </c>
      <c r="HM31" s="164">
        <v>98.400535609999991</v>
      </c>
      <c r="HN31" s="164">
        <v>102.405523969</v>
      </c>
      <c r="HO31" s="164">
        <v>121.32791437600001</v>
      </c>
      <c r="HP31" s="164">
        <v>109.98216815000001</v>
      </c>
      <c r="HQ31" s="164">
        <v>116.25939722300001</v>
      </c>
      <c r="HR31" s="164">
        <v>118.55847480000001</v>
      </c>
      <c r="HS31" s="164">
        <v>117.544672963</v>
      </c>
      <c r="HT31" s="164">
        <v>120.36716246700001</v>
      </c>
      <c r="HU31" s="164">
        <v>149.614466166</v>
      </c>
      <c r="HV31" s="164">
        <v>104.91175955599998</v>
      </c>
      <c r="HW31" s="164">
        <v>111.01557118700001</v>
      </c>
      <c r="HX31" s="164">
        <v>142.348664872</v>
      </c>
      <c r="HY31" s="164">
        <v>117.69511340699999</v>
      </c>
      <c r="HZ31" s="164">
        <v>117.50396666499998</v>
      </c>
      <c r="IA31" s="164">
        <v>127.19726605800001</v>
      </c>
      <c r="IB31" s="164">
        <v>126.79936792699999</v>
      </c>
      <c r="IC31" s="164">
        <v>128.946484381</v>
      </c>
      <c r="ID31" s="164">
        <v>192.25789871099997</v>
      </c>
      <c r="IE31" s="164">
        <v>134.57082102500001</v>
      </c>
      <c r="IF31" s="164">
        <v>158.06197812800002</v>
      </c>
      <c r="IG31" s="164">
        <v>152.55845840100002</v>
      </c>
      <c r="IH31" s="164">
        <v>112.397894648</v>
      </c>
      <c r="II31" s="164">
        <v>114.58558778699999</v>
      </c>
      <c r="IJ31" s="164">
        <v>164.01380209999996</v>
      </c>
      <c r="IK31" s="164">
        <v>110.19411381499999</v>
      </c>
      <c r="IL31" s="164">
        <v>123.31161084599999</v>
      </c>
      <c r="IM31" s="164">
        <v>124.85472725</v>
      </c>
      <c r="IN31" s="164">
        <v>147.48768343499998</v>
      </c>
      <c r="IO31" s="164">
        <v>150.214912449</v>
      </c>
      <c r="IP31" s="164">
        <v>134.45591652799996</v>
      </c>
      <c r="IQ31" s="164">
        <v>146.19567925900003</v>
      </c>
      <c r="IR31" s="164">
        <v>123.01555420000001</v>
      </c>
      <c r="IS31" s="164">
        <v>302.46368147599998</v>
      </c>
      <c r="IT31" s="159">
        <v>108.720686953</v>
      </c>
      <c r="IU31" s="159">
        <v>125.55691131600001</v>
      </c>
      <c r="IV31" s="159">
        <v>106.69635723699999</v>
      </c>
      <c r="IW31" s="159">
        <v>255.07148319200002</v>
      </c>
      <c r="IX31" s="159">
        <v>152.269101866</v>
      </c>
      <c r="IY31" s="159">
        <v>131.56796185100001</v>
      </c>
      <c r="IZ31" s="159">
        <v>58.044946092000025</v>
      </c>
      <c r="JA31" s="159">
        <v>123.36428672300002</v>
      </c>
      <c r="JB31" s="159">
        <v>140.65166169799997</v>
      </c>
      <c r="JC31" s="159">
        <v>207.67283431300004</v>
      </c>
      <c r="JD31" s="159">
        <v>150.069458099</v>
      </c>
      <c r="JE31" s="159">
        <v>197.11165107400001</v>
      </c>
      <c r="JF31" s="159">
        <v>137.760662997</v>
      </c>
      <c r="JG31" s="159">
        <v>130.63908726999998</v>
      </c>
      <c r="JH31" s="159">
        <v>156.837403435</v>
      </c>
      <c r="JI31" s="159">
        <v>140.51835831300002</v>
      </c>
      <c r="JJ31" s="159"/>
      <c r="JK31" s="159"/>
      <c r="JL31" s="159"/>
      <c r="JM31" s="159"/>
      <c r="JN31" s="159"/>
      <c r="JO31" s="159"/>
      <c r="JP31" s="159"/>
      <c r="JQ31" s="159"/>
    </row>
    <row r="32" spans="1:277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4">
        <v>402.54143010999996</v>
      </c>
      <c r="HK32" s="164">
        <v>44.278175630999996</v>
      </c>
      <c r="HL32" s="164">
        <v>13.886449828</v>
      </c>
      <c r="HM32" s="164">
        <v>41.968823854</v>
      </c>
      <c r="HN32" s="164">
        <v>30.574092444000001</v>
      </c>
      <c r="HO32" s="164">
        <v>143.17898414599998</v>
      </c>
      <c r="HP32" s="164">
        <v>77.397486014999998</v>
      </c>
      <c r="HQ32" s="164">
        <v>38.830099535999992</v>
      </c>
      <c r="HR32" s="164">
        <v>65.957162234999998</v>
      </c>
      <c r="HS32" s="164">
        <v>50.691843632999998</v>
      </c>
      <c r="HT32" s="164">
        <v>43.118353555000077</v>
      </c>
      <c r="HU32" s="164">
        <v>358.55963180199996</v>
      </c>
      <c r="HV32" s="164">
        <v>3.2520339799999993</v>
      </c>
      <c r="HW32" s="164">
        <v>6.7060857430000009</v>
      </c>
      <c r="HX32" s="164">
        <v>14.334053095000002</v>
      </c>
      <c r="HY32" s="164">
        <v>114.81302148</v>
      </c>
      <c r="HZ32" s="164">
        <v>91.289255522999994</v>
      </c>
      <c r="IA32" s="164">
        <v>64.315262462999996</v>
      </c>
      <c r="IB32" s="164">
        <v>45.779185651999988</v>
      </c>
      <c r="IC32" s="164">
        <v>48.353147516</v>
      </c>
      <c r="ID32" s="164">
        <v>38.869324584000005</v>
      </c>
      <c r="IE32" s="164">
        <v>31.499667789999997</v>
      </c>
      <c r="IF32" s="164">
        <v>34.331498913000004</v>
      </c>
      <c r="IG32" s="164">
        <v>254.97204513399998</v>
      </c>
      <c r="IH32" s="164">
        <v>6.4333110869999999</v>
      </c>
      <c r="II32" s="164">
        <v>10.227871374999999</v>
      </c>
      <c r="IJ32" s="164">
        <v>14.002721914999999</v>
      </c>
      <c r="IK32" s="164">
        <v>38.446812620000003</v>
      </c>
      <c r="IL32" s="164">
        <v>24.822180577000001</v>
      </c>
      <c r="IM32" s="164">
        <v>165.35182681700002</v>
      </c>
      <c r="IN32" s="164">
        <v>53.908996740000006</v>
      </c>
      <c r="IO32" s="164">
        <v>36.876359144999995</v>
      </c>
      <c r="IP32" s="164">
        <v>17.991718669000001</v>
      </c>
      <c r="IQ32" s="164">
        <v>25.882754328999997</v>
      </c>
      <c r="IR32" s="164">
        <v>31.242224588000003</v>
      </c>
      <c r="IS32" s="164">
        <v>209.91421090899999</v>
      </c>
      <c r="IT32" s="159">
        <v>6.9938328130000009</v>
      </c>
      <c r="IU32" s="159">
        <v>11.983300455</v>
      </c>
      <c r="IV32" s="159">
        <v>18.910108277999999</v>
      </c>
      <c r="IW32" s="159">
        <v>83.872651723000004</v>
      </c>
      <c r="IX32" s="159">
        <v>164.82290683899998</v>
      </c>
      <c r="IY32" s="159">
        <v>36.521690390000003</v>
      </c>
      <c r="IZ32" s="159">
        <v>81.797580041999993</v>
      </c>
      <c r="JA32" s="159">
        <v>29.376289172</v>
      </c>
      <c r="JB32" s="159">
        <v>32.938936975000004</v>
      </c>
      <c r="JC32" s="159">
        <v>43.326711008000004</v>
      </c>
      <c r="JD32" s="159">
        <v>40.481396940000003</v>
      </c>
      <c r="JE32" s="159">
        <v>179.93279734699999</v>
      </c>
      <c r="JF32" s="159">
        <v>15.022191894000001</v>
      </c>
      <c r="JG32" s="159">
        <v>27.151578829000002</v>
      </c>
      <c r="JH32" s="159">
        <v>56.807540474999996</v>
      </c>
      <c r="JI32" s="159">
        <v>33.446375786000004</v>
      </c>
      <c r="JJ32" s="159"/>
      <c r="JK32" s="159"/>
      <c r="JL32" s="159"/>
      <c r="JM32" s="159"/>
      <c r="JN32" s="159"/>
      <c r="JO32" s="159"/>
      <c r="JP32" s="159"/>
      <c r="JQ32" s="159"/>
    </row>
    <row r="33" spans="1:277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59"/>
      <c r="IU33" s="159"/>
      <c r="IV33" s="159"/>
      <c r="IW33" s="159"/>
      <c r="IX33" s="159"/>
      <c r="IY33" s="159"/>
      <c r="IZ33" s="159"/>
      <c r="JA33" s="159"/>
      <c r="JB33" s="159"/>
      <c r="JC33" s="159"/>
      <c r="JD33" s="159"/>
      <c r="JE33" s="159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</row>
    <row r="34" spans="1:277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4">
        <v>2182.2112937480001</v>
      </c>
      <c r="HK34" s="164">
        <v>2844.2331500340001</v>
      </c>
      <c r="HL34" s="164">
        <v>3284.9281849909994</v>
      </c>
      <c r="HM34" s="164">
        <v>3043.6278991240001</v>
      </c>
      <c r="HN34" s="164">
        <v>2955.7337588039995</v>
      </c>
      <c r="HO34" s="164">
        <v>2728.4649748649999</v>
      </c>
      <c r="HP34" s="164">
        <v>3084.2487281949998</v>
      </c>
      <c r="HQ34" s="164">
        <v>3025.9295728259999</v>
      </c>
      <c r="HR34" s="164">
        <v>3377.1678384780002</v>
      </c>
      <c r="HS34" s="164">
        <v>3186.2787068130001</v>
      </c>
      <c r="HT34" s="164">
        <v>3421.9412412829997</v>
      </c>
      <c r="HU34" s="164">
        <v>5916.542261603</v>
      </c>
      <c r="HV34" s="164">
        <v>2467.4700198060004</v>
      </c>
      <c r="HW34" s="164">
        <v>2908.4524072839999</v>
      </c>
      <c r="HX34" s="164">
        <v>3906.5423582769995</v>
      </c>
      <c r="HY34" s="164">
        <v>3197.4985246199999</v>
      </c>
      <c r="HZ34" s="164">
        <v>3056.744350121</v>
      </c>
      <c r="IA34" s="164">
        <v>2975.1765565720002</v>
      </c>
      <c r="IB34" s="164">
        <v>3271.6374591370009</v>
      </c>
      <c r="IC34" s="164">
        <v>3177.4668603110003</v>
      </c>
      <c r="ID34" s="164">
        <v>3679.4796807150001</v>
      </c>
      <c r="IE34" s="164">
        <v>3497.8542130960004</v>
      </c>
      <c r="IF34" s="164">
        <v>3635.1769327659999</v>
      </c>
      <c r="IG34" s="164">
        <v>5562.9420238940011</v>
      </c>
      <c r="IH34" s="164">
        <v>3100.1502207429999</v>
      </c>
      <c r="II34" s="164">
        <v>3219.166465192</v>
      </c>
      <c r="IJ34" s="164">
        <v>4333.8974296120005</v>
      </c>
      <c r="IK34" s="164">
        <v>3886.3335036539997</v>
      </c>
      <c r="IL34" s="164">
        <v>3745.1745298280002</v>
      </c>
      <c r="IM34" s="164">
        <v>3272.2961929349995</v>
      </c>
      <c r="IN34" s="164">
        <v>3704.5952433780003</v>
      </c>
      <c r="IO34" s="164">
        <v>3499.6675943310001</v>
      </c>
      <c r="IP34" s="164">
        <v>4152.7680178629998</v>
      </c>
      <c r="IQ34" s="164">
        <v>3777.3610124290003</v>
      </c>
      <c r="IR34" s="164">
        <v>3813.9673213420001</v>
      </c>
      <c r="IS34" s="164">
        <v>8000.2561212310002</v>
      </c>
      <c r="IT34" s="159">
        <v>2802.2402985750005</v>
      </c>
      <c r="IU34" s="159">
        <v>3801.3535964629996</v>
      </c>
      <c r="IV34" s="159">
        <v>5138.3415922779996</v>
      </c>
      <c r="IW34" s="159">
        <v>4157.3668644860008</v>
      </c>
      <c r="IX34" s="159">
        <v>4256.0327050629994</v>
      </c>
      <c r="IY34" s="159">
        <v>3945.7820394109999</v>
      </c>
      <c r="IZ34" s="159">
        <v>4471.1842986419997</v>
      </c>
      <c r="JA34" s="159">
        <v>4343.7660407499998</v>
      </c>
      <c r="JB34" s="159">
        <v>4538.1459755509995</v>
      </c>
      <c r="JC34" s="159">
        <v>4308.2357679770003</v>
      </c>
      <c r="JD34" s="159">
        <v>5317.3262609110006</v>
      </c>
      <c r="JE34" s="159">
        <v>6024.4755810290017</v>
      </c>
      <c r="JF34" s="159">
        <v>3974.1754129680007</v>
      </c>
      <c r="JG34" s="159">
        <v>4084.5110122229999</v>
      </c>
      <c r="JH34" s="159">
        <v>5019.9217820459999</v>
      </c>
      <c r="JI34" s="159">
        <v>4018.5587189970006</v>
      </c>
      <c r="JJ34" s="159"/>
      <c r="JK34" s="159"/>
      <c r="JL34" s="159"/>
      <c r="JM34" s="159"/>
      <c r="JN34" s="159"/>
      <c r="JO34" s="159"/>
      <c r="JP34" s="159"/>
      <c r="JQ34" s="159"/>
    </row>
    <row r="35" spans="1:277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197">
        <v>1266.2264890920001</v>
      </c>
      <c r="HK35" s="197">
        <v>1368.1876845650002</v>
      </c>
      <c r="HL35" s="197">
        <v>1361.4772993149998</v>
      </c>
      <c r="HM35" s="197">
        <v>1349.0043326189998</v>
      </c>
      <c r="HN35" s="197">
        <v>1349.3871308039998</v>
      </c>
      <c r="HO35" s="197">
        <v>1384.8668411679998</v>
      </c>
      <c r="HP35" s="197">
        <v>1375.5929881709999</v>
      </c>
      <c r="HQ35" s="197">
        <v>1396.2733383199998</v>
      </c>
      <c r="HR35" s="197">
        <v>1383.8598848250001</v>
      </c>
      <c r="HS35" s="197">
        <v>1382.3921958400003</v>
      </c>
      <c r="HT35" s="197">
        <v>1382.6076214259999</v>
      </c>
      <c r="HU35" s="197">
        <v>2841.2442090250001</v>
      </c>
      <c r="HV35" s="197">
        <v>1378.2880245820002</v>
      </c>
      <c r="HW35" s="197">
        <v>1448.1492592359998</v>
      </c>
      <c r="HX35" s="197">
        <v>1444.4326760119998</v>
      </c>
      <c r="HY35" s="197">
        <v>1442.9756117459997</v>
      </c>
      <c r="HZ35" s="197">
        <v>1453.2250417989997</v>
      </c>
      <c r="IA35" s="197">
        <v>1450.8331989940004</v>
      </c>
      <c r="IB35" s="197">
        <v>1454.6303973900006</v>
      </c>
      <c r="IC35" s="197">
        <v>1507.3164664430001</v>
      </c>
      <c r="ID35" s="197">
        <v>1437.2827652569997</v>
      </c>
      <c r="IE35" s="197">
        <v>1543.1049889349999</v>
      </c>
      <c r="IF35" s="197">
        <v>1477.3599227760001</v>
      </c>
      <c r="IG35" s="197">
        <v>2955.1797719460005</v>
      </c>
      <c r="IH35" s="197">
        <v>1434.3513240499999</v>
      </c>
      <c r="II35" s="197">
        <v>1560.5472777719997</v>
      </c>
      <c r="IJ35" s="197">
        <v>1577.660403972</v>
      </c>
      <c r="IK35" s="197">
        <v>1561.3547239789998</v>
      </c>
      <c r="IL35" s="197">
        <v>1570.0901997150006</v>
      </c>
      <c r="IM35" s="197">
        <v>1571.0133610360001</v>
      </c>
      <c r="IN35" s="197">
        <v>1614.4716409169998</v>
      </c>
      <c r="IO35" s="197">
        <v>1600.3708593009999</v>
      </c>
      <c r="IP35" s="197">
        <v>1603.197289443</v>
      </c>
      <c r="IQ35" s="197">
        <v>1620.742385433</v>
      </c>
      <c r="IR35" s="197">
        <v>1466.3827843940003</v>
      </c>
      <c r="IS35" s="197">
        <v>3343.405897914</v>
      </c>
      <c r="IT35" s="198">
        <v>1568.6311892110004</v>
      </c>
      <c r="IU35" s="198">
        <v>1672.8317857869999</v>
      </c>
      <c r="IV35" s="198">
        <v>1682.3108492839997</v>
      </c>
      <c r="IW35" s="198">
        <v>1691.0392363040005</v>
      </c>
      <c r="IX35" s="198">
        <v>1690.3028769899997</v>
      </c>
      <c r="IY35" s="198">
        <v>1691.5468035640001</v>
      </c>
      <c r="IZ35" s="198">
        <v>1706.1111985140001</v>
      </c>
      <c r="JA35" s="198">
        <v>1707.8203446860005</v>
      </c>
      <c r="JB35" s="198">
        <v>1685.2923286169996</v>
      </c>
      <c r="JC35" s="198">
        <v>1765.5575776289998</v>
      </c>
      <c r="JD35" s="198">
        <v>1734.4952506420002</v>
      </c>
      <c r="JE35" s="198">
        <v>3397.4963909640005</v>
      </c>
      <c r="JF35" s="198">
        <v>1720.3071413900002</v>
      </c>
      <c r="JG35" s="198">
        <v>1782.4101520639999</v>
      </c>
      <c r="JH35" s="198">
        <v>1791.824895173</v>
      </c>
      <c r="JI35" s="198">
        <v>1833.301013004</v>
      </c>
      <c r="JJ35" s="198"/>
      <c r="JK35" s="198"/>
      <c r="JL35" s="198"/>
      <c r="JM35" s="198"/>
      <c r="JN35" s="198"/>
      <c r="JO35" s="198"/>
      <c r="JP35" s="198"/>
      <c r="JQ35" s="198"/>
    </row>
    <row r="36" spans="1:277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7">
        <v>99.242559647000022</v>
      </c>
      <c r="HK36" s="167">
        <v>348.05447661899996</v>
      </c>
      <c r="HL36" s="167">
        <v>267.43358206300002</v>
      </c>
      <c r="HM36" s="167">
        <v>344.09811977999999</v>
      </c>
      <c r="HN36" s="167">
        <v>403.28355130100005</v>
      </c>
      <c r="HO36" s="167">
        <v>367.535119377</v>
      </c>
      <c r="HP36" s="167">
        <v>330.52581095599999</v>
      </c>
      <c r="HQ36" s="167">
        <v>395.01850473500002</v>
      </c>
      <c r="HR36" s="167">
        <v>462.39897387600001</v>
      </c>
      <c r="HS36" s="167">
        <v>491.69673887100004</v>
      </c>
      <c r="HT36" s="167">
        <v>750.25064140799998</v>
      </c>
      <c r="HU36" s="167">
        <v>1154.8788095780001</v>
      </c>
      <c r="HV36" s="167">
        <v>183.993639457</v>
      </c>
      <c r="HW36" s="167">
        <v>274.60946757400001</v>
      </c>
      <c r="HX36" s="167">
        <v>541.94908631199996</v>
      </c>
      <c r="HY36" s="167">
        <v>308.53645900200007</v>
      </c>
      <c r="HZ36" s="167">
        <v>289.86914024600003</v>
      </c>
      <c r="IA36" s="167">
        <v>311.91465933500001</v>
      </c>
      <c r="IB36" s="167">
        <v>303.95301729400001</v>
      </c>
      <c r="IC36" s="167">
        <v>307.37405990700006</v>
      </c>
      <c r="ID36" s="167">
        <v>394.502784061</v>
      </c>
      <c r="IE36" s="167">
        <v>408.50317173399998</v>
      </c>
      <c r="IF36" s="167">
        <v>398.25830210300001</v>
      </c>
      <c r="IG36" s="167">
        <v>772.86773659800008</v>
      </c>
      <c r="IH36" s="167">
        <v>410.62766720399992</v>
      </c>
      <c r="II36" s="167">
        <v>436.86803716100002</v>
      </c>
      <c r="IJ36" s="167">
        <v>516.21767519699995</v>
      </c>
      <c r="IK36" s="167">
        <v>530.70982110700004</v>
      </c>
      <c r="IL36" s="167">
        <v>344.93656855199998</v>
      </c>
      <c r="IM36" s="167">
        <v>247.86795522099999</v>
      </c>
      <c r="IN36" s="167">
        <v>538.37201267599994</v>
      </c>
      <c r="IO36" s="167">
        <v>333.43941898699995</v>
      </c>
      <c r="IP36" s="167">
        <v>353.52898287199997</v>
      </c>
      <c r="IQ36" s="167">
        <v>283.646086825</v>
      </c>
      <c r="IR36" s="167">
        <v>418.30884360099998</v>
      </c>
      <c r="IS36" s="167">
        <v>1696.121550801</v>
      </c>
      <c r="IT36" s="162">
        <v>109.21063335299999</v>
      </c>
      <c r="IU36" s="162">
        <v>368.86796318399996</v>
      </c>
      <c r="IV36" s="162">
        <v>1189.4562553759999</v>
      </c>
      <c r="IW36" s="162">
        <v>609.03542141399998</v>
      </c>
      <c r="IX36" s="162">
        <v>450.68079886999999</v>
      </c>
      <c r="IY36" s="162">
        <v>568.08199191200003</v>
      </c>
      <c r="IZ36" s="162">
        <v>725.03368756300017</v>
      </c>
      <c r="JA36" s="162">
        <v>557.12618810099991</v>
      </c>
      <c r="JB36" s="162">
        <v>451.16078686299994</v>
      </c>
      <c r="JC36" s="162">
        <v>513.89825842400001</v>
      </c>
      <c r="JD36" s="162">
        <v>782.73599718500009</v>
      </c>
      <c r="JE36" s="162">
        <v>353.65211789900002</v>
      </c>
      <c r="JF36" s="162">
        <v>461.12687287</v>
      </c>
      <c r="JG36" s="162">
        <v>554.05268784199995</v>
      </c>
      <c r="JH36" s="162">
        <v>615.32033838100006</v>
      </c>
      <c r="JI36" s="162">
        <v>367.81942645600003</v>
      </c>
      <c r="JJ36" s="162"/>
      <c r="JK36" s="162"/>
      <c r="JL36" s="162"/>
      <c r="JM36" s="162"/>
      <c r="JN36" s="162"/>
      <c r="JO36" s="162"/>
      <c r="JP36" s="162"/>
      <c r="JQ36" s="162"/>
    </row>
    <row r="37" spans="1:277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4">
        <v>59.621469635000004</v>
      </c>
      <c r="HK37" s="164">
        <v>73.051621657999988</v>
      </c>
      <c r="HL37" s="164">
        <v>118.35060192</v>
      </c>
      <c r="HM37" s="164">
        <v>142.75388618200003</v>
      </c>
      <c r="HN37" s="164">
        <v>107.35396439500001</v>
      </c>
      <c r="HO37" s="164">
        <v>156.419232623</v>
      </c>
      <c r="HP37" s="164">
        <v>128.22526193800002</v>
      </c>
      <c r="HQ37" s="164">
        <v>147.195646332</v>
      </c>
      <c r="HR37" s="164">
        <v>200.293524314</v>
      </c>
      <c r="HS37" s="164">
        <v>170.23865511100001</v>
      </c>
      <c r="HT37" s="164">
        <v>215.05288347200002</v>
      </c>
      <c r="HU37" s="164">
        <v>376.23052035699999</v>
      </c>
      <c r="HV37" s="164">
        <v>75.538610503000001</v>
      </c>
      <c r="HW37" s="164">
        <v>99.304546202999987</v>
      </c>
      <c r="HX37" s="164">
        <v>229.19822854700001</v>
      </c>
      <c r="HY37" s="164">
        <v>161.33783636499999</v>
      </c>
      <c r="HZ37" s="164">
        <v>174.83268065599998</v>
      </c>
      <c r="IA37" s="164">
        <v>150.44585135400001</v>
      </c>
      <c r="IB37" s="164">
        <v>136.88664210100001</v>
      </c>
      <c r="IC37" s="164">
        <v>148.29210260500003</v>
      </c>
      <c r="ID37" s="164">
        <v>150.59820565799998</v>
      </c>
      <c r="IE37" s="164">
        <v>117.439867646</v>
      </c>
      <c r="IF37" s="164">
        <v>128.99419412900002</v>
      </c>
      <c r="IG37" s="164">
        <v>291.95314803400004</v>
      </c>
      <c r="IH37" s="164">
        <v>103.02040334099999</v>
      </c>
      <c r="II37" s="164">
        <v>133.592474813</v>
      </c>
      <c r="IJ37" s="164">
        <v>229.08862596099999</v>
      </c>
      <c r="IK37" s="164">
        <v>150.77482213900001</v>
      </c>
      <c r="IL37" s="164">
        <v>155.58139394799997</v>
      </c>
      <c r="IM37" s="164">
        <v>111.441790067</v>
      </c>
      <c r="IN37" s="164">
        <v>152.07816845900001</v>
      </c>
      <c r="IO37" s="164">
        <v>157.918114661</v>
      </c>
      <c r="IP37" s="164">
        <v>165.23513154499997</v>
      </c>
      <c r="IQ37" s="164">
        <v>139.29818786800001</v>
      </c>
      <c r="IR37" s="164">
        <v>126.258798653</v>
      </c>
      <c r="IS37" s="164">
        <v>234.99926111600001</v>
      </c>
      <c r="IT37" s="159">
        <v>88.337127598999999</v>
      </c>
      <c r="IU37" s="159">
        <v>108.903720697</v>
      </c>
      <c r="IV37" s="159">
        <v>151.464328362</v>
      </c>
      <c r="IW37" s="159">
        <v>161.345718619</v>
      </c>
      <c r="IX37" s="159">
        <v>157.41184339600002</v>
      </c>
      <c r="IY37" s="159">
        <v>157.09179426199998</v>
      </c>
      <c r="IZ37" s="159">
        <v>177.784648624</v>
      </c>
      <c r="JA37" s="159">
        <v>128.96081648399999</v>
      </c>
      <c r="JB37" s="159">
        <v>168.88602928099999</v>
      </c>
      <c r="JC37" s="159">
        <v>141.86096733800002</v>
      </c>
      <c r="JD37" s="159">
        <v>230.91725663000003</v>
      </c>
      <c r="JE37" s="159">
        <v>185.62278312400002</v>
      </c>
      <c r="JF37" s="159">
        <v>102.036767252</v>
      </c>
      <c r="JG37" s="159">
        <v>146.78138110699999</v>
      </c>
      <c r="JH37" s="159">
        <v>151.47878214800002</v>
      </c>
      <c r="JI37" s="159">
        <v>107.430160134</v>
      </c>
      <c r="JJ37" s="159"/>
      <c r="JK37" s="159"/>
      <c r="JL37" s="159"/>
      <c r="JM37" s="159"/>
      <c r="JN37" s="159"/>
      <c r="JO37" s="159"/>
      <c r="JP37" s="159"/>
      <c r="JQ37" s="159"/>
    </row>
    <row r="38" spans="1:277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4">
        <v>39.621041512000005</v>
      </c>
      <c r="HK38" s="164">
        <v>186.30923466699997</v>
      </c>
      <c r="HL38" s="164">
        <v>128.58425613200001</v>
      </c>
      <c r="HM38" s="164">
        <v>194.88388800199999</v>
      </c>
      <c r="HN38" s="164">
        <v>291.21352620300007</v>
      </c>
      <c r="HO38" s="164">
        <v>210.88521995299999</v>
      </c>
      <c r="HP38" s="164">
        <v>202.29973921599998</v>
      </c>
      <c r="HQ38" s="164">
        <v>247.82188871</v>
      </c>
      <c r="HR38" s="164">
        <v>246.376066081</v>
      </c>
      <c r="HS38" s="164">
        <v>305.79503143800002</v>
      </c>
      <c r="HT38" s="164">
        <v>524.31095570699995</v>
      </c>
      <c r="HU38" s="164">
        <v>773.98454304400002</v>
      </c>
      <c r="HV38" s="164">
        <v>108.455028954</v>
      </c>
      <c r="HW38" s="164">
        <v>141.06593323700002</v>
      </c>
      <c r="HX38" s="164">
        <v>241.58181357399999</v>
      </c>
      <c r="HY38" s="164">
        <v>140.58316191200001</v>
      </c>
      <c r="HZ38" s="164">
        <v>109.872138603</v>
      </c>
      <c r="IA38" s="164">
        <v>161.34811234099999</v>
      </c>
      <c r="IB38" s="164">
        <v>155.27158795599999</v>
      </c>
      <c r="IC38" s="164">
        <v>159.08133073000002</v>
      </c>
      <c r="ID38" s="164">
        <v>220.54511368799999</v>
      </c>
      <c r="IE38" s="164">
        <v>284.76612212699996</v>
      </c>
      <c r="IF38" s="164">
        <v>258.13704181799994</v>
      </c>
      <c r="IG38" s="164">
        <v>479.46631852699994</v>
      </c>
      <c r="IH38" s="164">
        <v>307.60721215599995</v>
      </c>
      <c r="II38" s="164">
        <v>194.20168777800001</v>
      </c>
      <c r="IJ38" s="164">
        <v>274.97839022699998</v>
      </c>
      <c r="IK38" s="164">
        <v>371.08297102500006</v>
      </c>
      <c r="IL38" s="164">
        <v>175.013687035</v>
      </c>
      <c r="IM38" s="164">
        <v>135.98095553300001</v>
      </c>
      <c r="IN38" s="164">
        <v>385.45327700799999</v>
      </c>
      <c r="IO38" s="164">
        <v>153.42805756400003</v>
      </c>
      <c r="IP38" s="164">
        <v>175.27874895699998</v>
      </c>
      <c r="IQ38" s="164">
        <v>139.277787088</v>
      </c>
      <c r="IR38" s="164">
        <v>262.82953388999999</v>
      </c>
      <c r="IS38" s="164">
        <v>1457.4517310820002</v>
      </c>
      <c r="IT38" s="159">
        <v>20.873505754</v>
      </c>
      <c r="IU38" s="159">
        <v>144.08174987499999</v>
      </c>
      <c r="IV38" s="159">
        <v>1030.7377976370001</v>
      </c>
      <c r="IW38" s="159">
        <v>443.60385233499994</v>
      </c>
      <c r="IX38" s="159">
        <v>277.962228122</v>
      </c>
      <c r="IY38" s="159">
        <v>394.06017859399998</v>
      </c>
      <c r="IZ38" s="159">
        <v>528.53461606700012</v>
      </c>
      <c r="JA38" s="159">
        <v>428.10862439899995</v>
      </c>
      <c r="JB38" s="159">
        <v>275.10900165099997</v>
      </c>
      <c r="JC38" s="159">
        <v>367.98672191799994</v>
      </c>
      <c r="JD38" s="159">
        <v>530.77512146599997</v>
      </c>
      <c r="JE38" s="159">
        <v>166.76161397799999</v>
      </c>
      <c r="JF38" s="159">
        <v>357.46666342100002</v>
      </c>
      <c r="JG38" s="159">
        <v>368.28958159500002</v>
      </c>
      <c r="JH38" s="159">
        <v>363.86588609500001</v>
      </c>
      <c r="JI38" s="159">
        <v>254.02383379799997</v>
      </c>
      <c r="JJ38" s="159"/>
      <c r="JK38" s="159"/>
      <c r="JL38" s="159"/>
      <c r="JM38" s="159"/>
      <c r="JN38" s="159"/>
      <c r="JO38" s="159"/>
      <c r="JP38" s="159"/>
      <c r="JQ38" s="159"/>
    </row>
    <row r="39" spans="1:277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4">
        <v>4.85E-5</v>
      </c>
      <c r="HK39" s="164">
        <v>0.34413698399999998</v>
      </c>
      <c r="HL39" s="164">
        <v>20.494338332999998</v>
      </c>
      <c r="HM39" s="164">
        <v>6.4603455959999998</v>
      </c>
      <c r="HN39" s="164">
        <v>4.7160607030000001</v>
      </c>
      <c r="HO39" s="164">
        <v>0.230666801</v>
      </c>
      <c r="HP39" s="164">
        <v>8.0980199999999998E-4</v>
      </c>
      <c r="HQ39" s="164">
        <v>9.6969299999999999E-4</v>
      </c>
      <c r="HR39" s="164">
        <v>15.729383481000001</v>
      </c>
      <c r="HS39" s="164">
        <v>15.663052322</v>
      </c>
      <c r="HT39" s="164">
        <v>10.886802229000001</v>
      </c>
      <c r="HU39" s="164">
        <v>-1.5376352000000001E-2</v>
      </c>
      <c r="HV39" s="164">
        <v>0</v>
      </c>
      <c r="HW39" s="164">
        <v>0</v>
      </c>
      <c r="HX39" s="164">
        <v>14.797858513</v>
      </c>
      <c r="HY39" s="164">
        <v>6.5944607250000002</v>
      </c>
      <c r="HZ39" s="164">
        <v>5.164320987</v>
      </c>
      <c r="IA39" s="164">
        <v>0.12069563999999999</v>
      </c>
      <c r="IB39" s="164">
        <v>11.794787237000001</v>
      </c>
      <c r="IC39" s="164">
        <v>6.2657200000000004E-4</v>
      </c>
      <c r="ID39" s="164">
        <v>23.359464714999998</v>
      </c>
      <c r="IE39" s="164">
        <v>6.2971819610000006</v>
      </c>
      <c r="IF39" s="164">
        <v>11.127066156000001</v>
      </c>
      <c r="IG39" s="164">
        <v>0.39617903700000001</v>
      </c>
      <c r="IH39" s="164">
        <v>5.1707000000000005E-5</v>
      </c>
      <c r="II39" s="164">
        <v>5.6148099999999996E-4</v>
      </c>
      <c r="IJ39" s="164">
        <v>11.959385984000001</v>
      </c>
      <c r="IK39" s="164">
        <v>8.8392764079999999</v>
      </c>
      <c r="IL39" s="164">
        <v>14.341487569000002</v>
      </c>
      <c r="IM39" s="164">
        <v>0.440109007</v>
      </c>
      <c r="IN39" s="164">
        <v>0.83801690200000001</v>
      </c>
      <c r="IO39" s="164">
        <v>22.093246762000003</v>
      </c>
      <c r="IP39" s="164">
        <v>13.015102370000001</v>
      </c>
      <c r="IQ39" s="164">
        <v>5.0675615619999999</v>
      </c>
      <c r="IR39" s="164">
        <v>29.220511058</v>
      </c>
      <c r="IS39" s="164">
        <v>0.95782059400000008</v>
      </c>
      <c r="IT39" s="159">
        <v>0</v>
      </c>
      <c r="IU39" s="159">
        <v>1.2240150000000002E-3</v>
      </c>
      <c r="IV39" s="159">
        <v>7.2353667660000003</v>
      </c>
      <c r="IW39" s="159">
        <v>4.0831700870000001</v>
      </c>
      <c r="IX39" s="159">
        <v>15.274920249000001</v>
      </c>
      <c r="IY39" s="159">
        <v>16.930019056000003</v>
      </c>
      <c r="IZ39" s="159">
        <v>18.711742499</v>
      </c>
      <c r="JA39" s="159">
        <v>6.3784499999999995E-4</v>
      </c>
      <c r="JB39" s="159">
        <v>7.1611099310000004</v>
      </c>
      <c r="JC39" s="159">
        <v>4.0436001680000002</v>
      </c>
      <c r="JD39" s="159">
        <v>21.038258343000003</v>
      </c>
      <c r="JE39" s="159">
        <v>1.4229940000000001E-3</v>
      </c>
      <c r="JF39" s="159">
        <v>1.6234421970000001</v>
      </c>
      <c r="JG39" s="159">
        <v>-4.9448600000000006E-3</v>
      </c>
      <c r="JH39" s="159">
        <v>6.3582425430000002</v>
      </c>
      <c r="JI39" s="159">
        <v>6.365432524</v>
      </c>
      <c r="JJ39" s="159"/>
      <c r="JK39" s="159"/>
      <c r="JL39" s="159"/>
      <c r="JM39" s="159"/>
      <c r="JN39" s="159"/>
      <c r="JO39" s="159"/>
      <c r="JP39" s="159"/>
      <c r="JQ39" s="159"/>
    </row>
    <row r="40" spans="1:277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4">
        <v>0</v>
      </c>
      <c r="HK40" s="164">
        <v>88.349483309999982</v>
      </c>
      <c r="HL40" s="164">
        <v>4.3856779999914578E-3</v>
      </c>
      <c r="HM40" s="164">
        <v>0</v>
      </c>
      <c r="HN40" s="164">
        <v>0</v>
      </c>
      <c r="HO40" s="164">
        <v>0</v>
      </c>
      <c r="HP40" s="164">
        <v>0</v>
      </c>
      <c r="HQ40" s="164">
        <v>0</v>
      </c>
      <c r="HR40" s="164">
        <v>0</v>
      </c>
      <c r="HS40" s="164">
        <v>0</v>
      </c>
      <c r="HT40" s="164">
        <v>0</v>
      </c>
      <c r="HU40" s="164">
        <v>4.6791225290000442</v>
      </c>
      <c r="HV40" s="164">
        <v>0</v>
      </c>
      <c r="HW40" s="164">
        <v>34.238988133999982</v>
      </c>
      <c r="HX40" s="164">
        <v>56.371185677999918</v>
      </c>
      <c r="HY40" s="164">
        <v>2.1000000000000001E-2</v>
      </c>
      <c r="HZ40" s="164">
        <v>0</v>
      </c>
      <c r="IA40" s="164">
        <v>0</v>
      </c>
      <c r="IB40" s="164">
        <v>0</v>
      </c>
      <c r="IC40" s="164">
        <v>0</v>
      </c>
      <c r="ID40" s="164">
        <v>0</v>
      </c>
      <c r="IE40" s="164">
        <v>0</v>
      </c>
      <c r="IF40" s="164">
        <v>0</v>
      </c>
      <c r="IG40" s="164">
        <v>1.052091000000015</v>
      </c>
      <c r="IH40" s="164">
        <v>0</v>
      </c>
      <c r="II40" s="164">
        <v>109.07331308900001</v>
      </c>
      <c r="IJ40" s="164">
        <v>0.19127302500000223</v>
      </c>
      <c r="IK40" s="164">
        <v>1.27515349999303E-2</v>
      </c>
      <c r="IL40" s="164">
        <v>0</v>
      </c>
      <c r="IM40" s="164">
        <v>5.1006139999954028E-3</v>
      </c>
      <c r="IN40" s="164">
        <v>2.5503069999394936E-3</v>
      </c>
      <c r="IO40" s="164">
        <v>0</v>
      </c>
      <c r="IP40" s="164">
        <v>0</v>
      </c>
      <c r="IQ40" s="164">
        <v>2.5503069999977014E-3</v>
      </c>
      <c r="IR40" s="164">
        <v>0</v>
      </c>
      <c r="IS40" s="164">
        <v>2.7127380089999642</v>
      </c>
      <c r="IT40" s="159">
        <v>0</v>
      </c>
      <c r="IU40" s="159">
        <v>115.88126859699996</v>
      </c>
      <c r="IV40" s="159">
        <v>1.8762611000100151E-2</v>
      </c>
      <c r="IW40" s="159">
        <v>2.6803730000974609E-3</v>
      </c>
      <c r="IX40" s="159">
        <v>3.1807102999999184E-2</v>
      </c>
      <c r="IY40" s="159">
        <v>0</v>
      </c>
      <c r="IZ40" s="159">
        <v>2.6803729999810458E-3</v>
      </c>
      <c r="JA40" s="159">
        <v>5.6109372999984773E-2</v>
      </c>
      <c r="JB40" s="159">
        <v>4.6459999999497086E-3</v>
      </c>
      <c r="JC40" s="159">
        <v>6.969000000040978E-3</v>
      </c>
      <c r="JD40" s="159">
        <v>5.3607459999620915E-3</v>
      </c>
      <c r="JE40" s="159">
        <v>1.2662978030000231</v>
      </c>
      <c r="JF40" s="159">
        <v>0</v>
      </c>
      <c r="JG40" s="159">
        <v>38.986669999999926</v>
      </c>
      <c r="JH40" s="159">
        <v>93.617427595000009</v>
      </c>
      <c r="JI40" s="159">
        <v>0</v>
      </c>
      <c r="JJ40" s="159"/>
      <c r="JK40" s="159"/>
      <c r="JL40" s="159"/>
      <c r="JM40" s="159"/>
      <c r="JN40" s="159"/>
      <c r="JO40" s="159"/>
      <c r="JP40" s="159"/>
      <c r="JQ40" s="159"/>
    </row>
    <row r="41" spans="1:277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7">
        <v>124.973901</v>
      </c>
      <c r="HK41" s="167">
        <v>222.508194922</v>
      </c>
      <c r="HL41" s="167">
        <v>481.28868376700001</v>
      </c>
      <c r="HM41" s="167">
        <v>318.49929586000002</v>
      </c>
      <c r="HN41" s="167">
        <v>202.39552018200001</v>
      </c>
      <c r="HO41" s="167">
        <v>49.419130066999998</v>
      </c>
      <c r="HP41" s="167">
        <v>144.03988679299999</v>
      </c>
      <c r="HQ41" s="167">
        <v>263.28152448499998</v>
      </c>
      <c r="HR41" s="167">
        <v>522.21845047800002</v>
      </c>
      <c r="HS41" s="167">
        <v>341.80696715300002</v>
      </c>
      <c r="HT41" s="167">
        <v>239.93946229599999</v>
      </c>
      <c r="HU41" s="167">
        <v>52.112954572</v>
      </c>
      <c r="HV41" s="167">
        <v>147.85142291699998</v>
      </c>
      <c r="HW41" s="167">
        <v>255.864487295</v>
      </c>
      <c r="HX41" s="167">
        <v>556.73812649899992</v>
      </c>
      <c r="HY41" s="167">
        <v>351.76069724599995</v>
      </c>
      <c r="HZ41" s="167">
        <v>215.46775427200001</v>
      </c>
      <c r="IA41" s="167">
        <v>107.81592170799999</v>
      </c>
      <c r="IB41" s="167">
        <v>109.52354594099999</v>
      </c>
      <c r="IC41" s="167">
        <v>260.77895532000002</v>
      </c>
      <c r="ID41" s="167">
        <v>631.06538848499997</v>
      </c>
      <c r="IE41" s="167">
        <v>396.62365647900003</v>
      </c>
      <c r="IF41" s="167">
        <v>426.92214668600002</v>
      </c>
      <c r="IG41" s="167">
        <v>153.182502511</v>
      </c>
      <c r="IH41" s="167">
        <v>294.161829023</v>
      </c>
      <c r="II41" s="167">
        <v>40.503832832000001</v>
      </c>
      <c r="IJ41" s="167">
        <v>784.67088944499994</v>
      </c>
      <c r="IK41" s="167">
        <v>445.38099892300005</v>
      </c>
      <c r="IL41" s="167">
        <v>585.125973918</v>
      </c>
      <c r="IM41" s="167">
        <v>251.40127605000001</v>
      </c>
      <c r="IN41" s="167">
        <v>120.95658459100001</v>
      </c>
      <c r="IO41" s="167">
        <v>282.33616133100003</v>
      </c>
      <c r="IP41" s="167">
        <v>912.04964642500011</v>
      </c>
      <c r="IQ41" s="167">
        <v>486.34670189999997</v>
      </c>
      <c r="IR41" s="167">
        <v>659.19684707599993</v>
      </c>
      <c r="IS41" s="167">
        <v>355.17185371899996</v>
      </c>
      <c r="IT41" s="162">
        <v>62.695525802999995</v>
      </c>
      <c r="IU41" s="162">
        <v>524.23012057200003</v>
      </c>
      <c r="IV41" s="162">
        <v>923.93745091200003</v>
      </c>
      <c r="IW41" s="162">
        <v>473.05682343799998</v>
      </c>
      <c r="IX41" s="162">
        <v>692.53967024899998</v>
      </c>
      <c r="IY41" s="162">
        <v>323.50525333399997</v>
      </c>
      <c r="IZ41" s="162">
        <v>240.085125874</v>
      </c>
      <c r="JA41" s="162">
        <v>679.79433824400007</v>
      </c>
      <c r="JB41" s="162">
        <v>975.22943245500005</v>
      </c>
      <c r="JC41" s="162">
        <v>510.86191037000003</v>
      </c>
      <c r="JD41" s="162">
        <v>1028.0074602280001</v>
      </c>
      <c r="JE41" s="162">
        <v>199.36734078700002</v>
      </c>
      <c r="JF41" s="162">
        <v>556.18368693000002</v>
      </c>
      <c r="JG41" s="162">
        <v>366.84121556100001</v>
      </c>
      <c r="JH41" s="162">
        <v>945.49403998800005</v>
      </c>
      <c r="JI41" s="162">
        <v>448.61504863800002</v>
      </c>
      <c r="JJ41" s="162"/>
      <c r="JK41" s="162"/>
      <c r="JL41" s="162"/>
      <c r="JM41" s="162"/>
      <c r="JN41" s="162"/>
      <c r="JO41" s="162"/>
      <c r="JP41" s="162"/>
      <c r="JQ41" s="162"/>
    </row>
    <row r="42" spans="1:277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4">
        <v>124.973901</v>
      </c>
      <c r="HK42" s="164">
        <v>208.55244696</v>
      </c>
      <c r="HL42" s="164">
        <v>455.82742128699999</v>
      </c>
      <c r="HM42" s="164">
        <v>293.61157036000003</v>
      </c>
      <c r="HN42" s="164">
        <v>154.603494385</v>
      </c>
      <c r="HO42" s="164">
        <v>15.401560901</v>
      </c>
      <c r="HP42" s="164">
        <v>132.71011276600001</v>
      </c>
      <c r="HQ42" s="164">
        <v>216.55753359599998</v>
      </c>
      <c r="HR42" s="164">
        <v>490.421496848</v>
      </c>
      <c r="HS42" s="164">
        <v>315.80218165299999</v>
      </c>
      <c r="HT42" s="164">
        <v>192.156552296</v>
      </c>
      <c r="HU42" s="164">
        <v>6.6564545539999997</v>
      </c>
      <c r="HV42" s="164">
        <v>138.40087694399998</v>
      </c>
      <c r="HW42" s="164">
        <v>214.26978566900002</v>
      </c>
      <c r="HX42" s="164">
        <v>524.5797674989999</v>
      </c>
      <c r="HY42" s="164">
        <v>304.55191174599997</v>
      </c>
      <c r="HZ42" s="164">
        <v>215.417689169</v>
      </c>
      <c r="IA42" s="164">
        <v>70.775300458000004</v>
      </c>
      <c r="IB42" s="164">
        <v>98.193771913999996</v>
      </c>
      <c r="IC42" s="164">
        <v>212.773261279</v>
      </c>
      <c r="ID42" s="164">
        <v>598.80644448499993</v>
      </c>
      <c r="IE42" s="164">
        <v>349.43387097900001</v>
      </c>
      <c r="IF42" s="164">
        <v>424.06185878900004</v>
      </c>
      <c r="IG42" s="164">
        <v>115.96146804199999</v>
      </c>
      <c r="IH42" s="164">
        <v>284.71128305000002</v>
      </c>
      <c r="II42" s="164">
        <v>0.221035918</v>
      </c>
      <c r="IJ42" s="164">
        <v>752.40994544499995</v>
      </c>
      <c r="IK42" s="164">
        <v>401.72221342300003</v>
      </c>
      <c r="IL42" s="164">
        <v>575.26769409500002</v>
      </c>
      <c r="IM42" s="164">
        <v>214.332401307</v>
      </c>
      <c r="IN42" s="164">
        <v>120.95658459100001</v>
      </c>
      <c r="IO42" s="164">
        <v>223.869697922</v>
      </c>
      <c r="IP42" s="164">
        <v>851.51949642500006</v>
      </c>
      <c r="IQ42" s="164">
        <v>442.32791639999999</v>
      </c>
      <c r="IR42" s="164">
        <v>644.07886122599996</v>
      </c>
      <c r="IS42" s="164">
        <v>318.23997513199998</v>
      </c>
      <c r="IT42" s="159">
        <v>62.695525802999995</v>
      </c>
      <c r="IU42" s="159">
        <v>368.36469535599997</v>
      </c>
      <c r="IV42" s="159">
        <v>891.66250691200003</v>
      </c>
      <c r="IW42" s="159">
        <v>446.18303793799998</v>
      </c>
      <c r="IX42" s="159">
        <v>670.49544323099997</v>
      </c>
      <c r="IY42" s="159">
        <v>286.46463208399996</v>
      </c>
      <c r="IZ42" s="159">
        <v>240.085125874</v>
      </c>
      <c r="JA42" s="159">
        <v>487.09394343700001</v>
      </c>
      <c r="JB42" s="159">
        <v>942.96172910400003</v>
      </c>
      <c r="JC42" s="159">
        <v>483.81297246000003</v>
      </c>
      <c r="JD42" s="159">
        <v>1000.877669907</v>
      </c>
      <c r="JE42" s="159">
        <v>140.99233053700002</v>
      </c>
      <c r="JF42" s="159">
        <v>424.74412412999999</v>
      </c>
      <c r="JG42" s="159">
        <v>306.04701874400001</v>
      </c>
      <c r="JH42" s="159">
        <v>913.25409598800002</v>
      </c>
      <c r="JI42" s="159">
        <v>421.5709592</v>
      </c>
      <c r="JJ42" s="159"/>
      <c r="JK42" s="159"/>
      <c r="JL42" s="159"/>
      <c r="JM42" s="159"/>
      <c r="JN42" s="159"/>
      <c r="JO42" s="159"/>
      <c r="JP42" s="159"/>
      <c r="JQ42" s="159"/>
    </row>
    <row r="43" spans="1:277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4">
        <v>0</v>
      </c>
      <c r="HK43" s="164">
        <v>13.955747962</v>
      </c>
      <c r="HL43" s="164">
        <v>25.461262480000002</v>
      </c>
      <c r="HM43" s="164">
        <v>24.887725500000002</v>
      </c>
      <c r="HN43" s="164">
        <v>47.792025797000001</v>
      </c>
      <c r="HO43" s="164">
        <v>34.017569166000001</v>
      </c>
      <c r="HP43" s="164">
        <v>11.329774026999999</v>
      </c>
      <c r="HQ43" s="164">
        <v>46.723990889</v>
      </c>
      <c r="HR43" s="164">
        <v>31.796953630000001</v>
      </c>
      <c r="HS43" s="164">
        <v>26.004785500000001</v>
      </c>
      <c r="HT43" s="164">
        <v>47.782910000000001</v>
      </c>
      <c r="HU43" s="164">
        <v>45.456500018</v>
      </c>
      <c r="HV43" s="164">
        <v>9.4505459730000005</v>
      </c>
      <c r="HW43" s="164">
        <v>41.594701626000003</v>
      </c>
      <c r="HX43" s="164">
        <v>32.158358999999997</v>
      </c>
      <c r="HY43" s="164">
        <v>47.208785499999998</v>
      </c>
      <c r="HZ43" s="164">
        <v>5.0065103E-2</v>
      </c>
      <c r="IA43" s="164">
        <v>37.040621249999994</v>
      </c>
      <c r="IB43" s="164">
        <v>11.329774026999999</v>
      </c>
      <c r="IC43" s="164">
        <v>48.005694041000005</v>
      </c>
      <c r="ID43" s="164">
        <v>32.258944</v>
      </c>
      <c r="IE43" s="164">
        <v>47.189785499999999</v>
      </c>
      <c r="IF43" s="164">
        <v>2.8602878970000001</v>
      </c>
      <c r="IG43" s="164">
        <v>37.221034468999996</v>
      </c>
      <c r="IH43" s="164">
        <v>9.4505459730000005</v>
      </c>
      <c r="II43" s="164">
        <v>40.282796914000002</v>
      </c>
      <c r="IJ43" s="164">
        <v>32.260944000000002</v>
      </c>
      <c r="IK43" s="164">
        <v>43.6587855</v>
      </c>
      <c r="IL43" s="164">
        <v>9.8582798230000002</v>
      </c>
      <c r="IM43" s="164">
        <v>37.068874743000002</v>
      </c>
      <c r="IN43" s="164">
        <v>0</v>
      </c>
      <c r="IO43" s="164">
        <v>58.466463409000006</v>
      </c>
      <c r="IP43" s="164">
        <v>60.530149999999999</v>
      </c>
      <c r="IQ43" s="164">
        <v>44.0187855</v>
      </c>
      <c r="IR43" s="164">
        <v>15.117985849999998</v>
      </c>
      <c r="IS43" s="164">
        <v>36.931878587</v>
      </c>
      <c r="IT43" s="159">
        <v>0</v>
      </c>
      <c r="IU43" s="159">
        <v>155.86542521600001</v>
      </c>
      <c r="IV43" s="159">
        <v>32.274943999999998</v>
      </c>
      <c r="IW43" s="159">
        <v>26.8737855</v>
      </c>
      <c r="IX43" s="159">
        <v>22.044227018000001</v>
      </c>
      <c r="IY43" s="159">
        <v>37.040621249999994</v>
      </c>
      <c r="IZ43" s="159">
        <v>0</v>
      </c>
      <c r="JA43" s="159">
        <v>192.70039480700001</v>
      </c>
      <c r="JB43" s="159">
        <v>32.267703351000002</v>
      </c>
      <c r="JC43" s="159">
        <v>27.048937909999999</v>
      </c>
      <c r="JD43" s="159">
        <v>27.129790321000002</v>
      </c>
      <c r="JE43" s="159">
        <v>58.375010250000003</v>
      </c>
      <c r="JF43" s="159">
        <v>131.4395628</v>
      </c>
      <c r="JG43" s="159">
        <v>60.794196817</v>
      </c>
      <c r="JH43" s="159">
        <v>32.239944000000001</v>
      </c>
      <c r="JI43" s="159">
        <v>27.044089438</v>
      </c>
      <c r="JJ43" s="159"/>
      <c r="JK43" s="159"/>
      <c r="JL43" s="159"/>
      <c r="JM43" s="159"/>
      <c r="JN43" s="159"/>
      <c r="JO43" s="159"/>
      <c r="JP43" s="159"/>
      <c r="JQ43" s="159"/>
    </row>
    <row r="44" spans="1:277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4">
        <v>0</v>
      </c>
      <c r="HK44" s="164">
        <v>0</v>
      </c>
      <c r="HL44" s="164">
        <v>0</v>
      </c>
      <c r="HM44" s="164">
        <v>0</v>
      </c>
      <c r="HN44" s="164">
        <v>0</v>
      </c>
      <c r="HO44" s="164">
        <v>0</v>
      </c>
      <c r="HP44" s="164">
        <v>0</v>
      </c>
      <c r="HQ44" s="164">
        <v>0</v>
      </c>
      <c r="HR44" s="164">
        <v>0</v>
      </c>
      <c r="HS44" s="164">
        <v>0</v>
      </c>
      <c r="HT44" s="164">
        <v>0</v>
      </c>
      <c r="HU44" s="164">
        <v>0</v>
      </c>
      <c r="HV44" s="164">
        <v>0</v>
      </c>
      <c r="HW44" s="164">
        <v>0</v>
      </c>
      <c r="HX44" s="164">
        <v>0</v>
      </c>
      <c r="HY44" s="164">
        <v>0</v>
      </c>
      <c r="HZ44" s="164">
        <v>0</v>
      </c>
      <c r="IA44" s="164">
        <v>0</v>
      </c>
      <c r="IB44" s="164">
        <v>0</v>
      </c>
      <c r="IC44" s="164">
        <v>0</v>
      </c>
      <c r="ID44" s="164">
        <v>0</v>
      </c>
      <c r="IE44" s="164">
        <v>0</v>
      </c>
      <c r="IF44" s="164">
        <v>0</v>
      </c>
      <c r="IG44" s="164">
        <v>0</v>
      </c>
      <c r="IH44" s="164">
        <v>0</v>
      </c>
      <c r="II44" s="164">
        <v>0</v>
      </c>
      <c r="IJ44" s="164">
        <v>0</v>
      </c>
      <c r="IK44" s="164">
        <v>0</v>
      </c>
      <c r="IL44" s="164">
        <v>0</v>
      </c>
      <c r="IM44" s="164">
        <v>0</v>
      </c>
      <c r="IN44" s="164">
        <v>0</v>
      </c>
      <c r="IO44" s="164">
        <v>0</v>
      </c>
      <c r="IP44" s="164">
        <v>0</v>
      </c>
      <c r="IQ44" s="164">
        <v>0</v>
      </c>
      <c r="IR44" s="164">
        <v>0</v>
      </c>
      <c r="IS44" s="164">
        <v>0</v>
      </c>
      <c r="IT44" s="159">
        <v>0</v>
      </c>
      <c r="IU44" s="159">
        <v>0</v>
      </c>
      <c r="IV44" s="159">
        <v>0</v>
      </c>
      <c r="IW44" s="159">
        <v>0</v>
      </c>
      <c r="IX44" s="159">
        <v>0</v>
      </c>
      <c r="IY44" s="159">
        <v>0</v>
      </c>
      <c r="IZ44" s="159">
        <v>0</v>
      </c>
      <c r="JA44" s="159">
        <v>0</v>
      </c>
      <c r="JB44" s="159">
        <v>0</v>
      </c>
      <c r="JC44" s="159">
        <v>0</v>
      </c>
      <c r="JD44" s="159">
        <v>0</v>
      </c>
      <c r="JE44" s="159">
        <v>0</v>
      </c>
      <c r="JF44" s="159">
        <v>0</v>
      </c>
      <c r="JG44" s="159">
        <v>0</v>
      </c>
      <c r="JH44" s="159">
        <v>0</v>
      </c>
      <c r="JI44" s="159">
        <v>0</v>
      </c>
      <c r="JJ44" s="159"/>
      <c r="JK44" s="159"/>
      <c r="JL44" s="159"/>
      <c r="JM44" s="159"/>
      <c r="JN44" s="159"/>
      <c r="JO44" s="159"/>
      <c r="JP44" s="159"/>
      <c r="JQ44" s="159"/>
    </row>
    <row r="45" spans="1:277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4">
        <v>182.010698101</v>
      </c>
      <c r="HK45" s="164">
        <v>389.42385789499997</v>
      </c>
      <c r="HL45" s="164">
        <v>366.49241632100001</v>
      </c>
      <c r="HM45" s="164">
        <v>429.18195936499995</v>
      </c>
      <c r="HN45" s="164">
        <v>381.81574812500003</v>
      </c>
      <c r="HO45" s="164">
        <v>383.68446427999999</v>
      </c>
      <c r="HP45" s="164">
        <v>382.30807468900002</v>
      </c>
      <c r="HQ45" s="164">
        <v>348.61671588400003</v>
      </c>
      <c r="HR45" s="164">
        <v>346.13246358799995</v>
      </c>
      <c r="HS45" s="164">
        <v>414.991824834</v>
      </c>
      <c r="HT45" s="164">
        <v>381.25620419000001</v>
      </c>
      <c r="HU45" s="164">
        <v>763.47756059500011</v>
      </c>
      <c r="HV45" s="164">
        <v>181.90650433100004</v>
      </c>
      <c r="HW45" s="164">
        <v>304.45394862899997</v>
      </c>
      <c r="HX45" s="164">
        <v>367.91253187000001</v>
      </c>
      <c r="HY45" s="164">
        <v>445.04071703399995</v>
      </c>
      <c r="HZ45" s="164">
        <v>399.60277200199999</v>
      </c>
      <c r="IA45" s="164">
        <v>394.296952594</v>
      </c>
      <c r="IB45" s="164">
        <v>414.41454508300006</v>
      </c>
      <c r="IC45" s="164">
        <v>367.51811569300003</v>
      </c>
      <c r="ID45" s="164">
        <v>398.17455540099991</v>
      </c>
      <c r="IE45" s="164">
        <v>431.66533240700005</v>
      </c>
      <c r="IF45" s="164">
        <v>451.31509101500001</v>
      </c>
      <c r="IG45" s="164">
        <v>581.94371369400005</v>
      </c>
      <c r="IH45" s="164">
        <v>301.85929265700003</v>
      </c>
      <c r="II45" s="164">
        <v>375.81849253000001</v>
      </c>
      <c r="IJ45" s="164">
        <v>407.49645330400006</v>
      </c>
      <c r="IK45" s="164">
        <v>486.22660848999999</v>
      </c>
      <c r="IL45" s="164">
        <v>419.81873271900002</v>
      </c>
      <c r="IM45" s="164">
        <v>345.29331814599993</v>
      </c>
      <c r="IN45" s="164">
        <v>411.72823958600009</v>
      </c>
      <c r="IO45" s="164">
        <v>439.98344992000006</v>
      </c>
      <c r="IP45" s="164">
        <v>484.35946257699999</v>
      </c>
      <c r="IQ45" s="164">
        <v>430.20722538799998</v>
      </c>
      <c r="IR45" s="164">
        <v>419.3593098099999</v>
      </c>
      <c r="IS45" s="164">
        <v>649.50024751400008</v>
      </c>
      <c r="IT45" s="159">
        <v>370.640668844</v>
      </c>
      <c r="IU45" s="159">
        <v>360.22253671300001</v>
      </c>
      <c r="IV45" s="159">
        <v>425.16344091600001</v>
      </c>
      <c r="IW45" s="159">
        <v>470.41790083899991</v>
      </c>
      <c r="IX45" s="159">
        <v>412.23324842499994</v>
      </c>
      <c r="IY45" s="159">
        <v>425.65938595200004</v>
      </c>
      <c r="IZ45" s="159">
        <v>870.29515321299994</v>
      </c>
      <c r="JA45" s="159">
        <v>469.895018376</v>
      </c>
      <c r="JB45" s="159">
        <v>518.09065131800003</v>
      </c>
      <c r="JC45" s="159">
        <v>502.85846869099998</v>
      </c>
      <c r="JD45" s="159">
        <v>529.14817746100005</v>
      </c>
      <c r="JE45" s="159">
        <v>642.97283846800008</v>
      </c>
      <c r="JF45" s="159">
        <v>342.08510430999996</v>
      </c>
      <c r="JG45" s="159">
        <v>417.59056264499992</v>
      </c>
      <c r="JH45" s="159">
        <v>634.20789772899991</v>
      </c>
      <c r="JI45" s="159">
        <v>450.15544191600003</v>
      </c>
      <c r="JJ45" s="159"/>
      <c r="JK45" s="159"/>
      <c r="JL45" s="159"/>
      <c r="JM45" s="159"/>
      <c r="JN45" s="159"/>
      <c r="JO45" s="159"/>
      <c r="JP45" s="159"/>
      <c r="JQ45" s="159"/>
    </row>
    <row r="46" spans="1:277" x14ac:dyDescent="0.25">
      <c r="A46" s="13" t="s">
        <v>172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4">
        <v>0</v>
      </c>
      <c r="HK46" s="164">
        <v>0</v>
      </c>
      <c r="HL46" s="164">
        <v>0</v>
      </c>
      <c r="HM46" s="164">
        <v>0</v>
      </c>
      <c r="HN46" s="164">
        <v>0</v>
      </c>
      <c r="HO46" s="164">
        <v>0</v>
      </c>
      <c r="HP46" s="164">
        <v>0</v>
      </c>
      <c r="HQ46" s="164">
        <v>0</v>
      </c>
      <c r="HR46" s="164">
        <v>0</v>
      </c>
      <c r="HS46" s="164">
        <v>0</v>
      </c>
      <c r="HT46" s="164">
        <v>0</v>
      </c>
      <c r="HU46" s="164">
        <v>0</v>
      </c>
      <c r="HV46" s="164">
        <v>0</v>
      </c>
      <c r="HW46" s="164">
        <v>0</v>
      </c>
      <c r="HX46" s="164">
        <v>0</v>
      </c>
      <c r="HY46" s="164">
        <v>0</v>
      </c>
      <c r="HZ46" s="164">
        <v>0</v>
      </c>
      <c r="IA46" s="164">
        <v>0</v>
      </c>
      <c r="IB46" s="164">
        <v>0</v>
      </c>
      <c r="IC46" s="164">
        <v>0</v>
      </c>
      <c r="ID46" s="164">
        <v>0</v>
      </c>
      <c r="IE46" s="164">
        <v>0</v>
      </c>
      <c r="IF46" s="164">
        <v>0</v>
      </c>
      <c r="IG46" s="164">
        <v>0</v>
      </c>
      <c r="IH46" s="164">
        <v>0</v>
      </c>
      <c r="II46" s="164">
        <v>0</v>
      </c>
      <c r="IJ46" s="164">
        <v>0</v>
      </c>
      <c r="IK46" s="164">
        <v>0</v>
      </c>
      <c r="IL46" s="164">
        <v>0</v>
      </c>
      <c r="IM46" s="164">
        <v>0</v>
      </c>
      <c r="IN46" s="164">
        <v>0</v>
      </c>
      <c r="IO46" s="164">
        <v>0</v>
      </c>
      <c r="IP46" s="164">
        <v>0</v>
      </c>
      <c r="IQ46" s="164">
        <v>0</v>
      </c>
      <c r="IR46" s="164">
        <v>0</v>
      </c>
      <c r="IS46" s="164">
        <v>0</v>
      </c>
      <c r="IT46" s="159">
        <v>0</v>
      </c>
      <c r="IU46" s="159">
        <v>0</v>
      </c>
      <c r="IV46" s="159">
        <v>0</v>
      </c>
      <c r="IW46" s="159">
        <v>0</v>
      </c>
      <c r="IX46" s="159">
        <v>0</v>
      </c>
      <c r="IY46" s="159">
        <v>0</v>
      </c>
      <c r="IZ46" s="159">
        <v>0</v>
      </c>
      <c r="JA46" s="159">
        <v>0</v>
      </c>
      <c r="JB46" s="159">
        <v>0</v>
      </c>
      <c r="JC46" s="159">
        <v>0</v>
      </c>
      <c r="JD46" s="159">
        <v>0</v>
      </c>
      <c r="JE46" s="159">
        <v>0</v>
      </c>
      <c r="JF46" s="159">
        <v>0</v>
      </c>
      <c r="JG46" s="159">
        <v>0</v>
      </c>
      <c r="JH46" s="159">
        <v>0</v>
      </c>
      <c r="JI46" s="159">
        <v>0</v>
      </c>
      <c r="JJ46" s="159"/>
      <c r="JK46" s="159"/>
      <c r="JL46" s="159"/>
      <c r="JM46" s="159"/>
      <c r="JN46" s="159"/>
      <c r="JO46" s="159"/>
      <c r="JP46" s="159"/>
      <c r="JQ46" s="159"/>
    </row>
    <row r="47" spans="1:277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7">
        <v>0</v>
      </c>
      <c r="HK47" s="167">
        <v>0</v>
      </c>
      <c r="HL47" s="167">
        <v>0</v>
      </c>
      <c r="HM47" s="167">
        <v>0</v>
      </c>
      <c r="HN47" s="167">
        <v>0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7">
        <v>0</v>
      </c>
      <c r="HY47" s="167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0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7">
        <v>0</v>
      </c>
      <c r="IL47" s="167">
        <v>0</v>
      </c>
      <c r="IM47" s="167">
        <v>0</v>
      </c>
      <c r="IN47" s="167">
        <v>0</v>
      </c>
      <c r="IO47" s="167">
        <v>0</v>
      </c>
      <c r="IP47" s="167">
        <v>0</v>
      </c>
      <c r="IQ47" s="167">
        <v>0</v>
      </c>
      <c r="IR47" s="167">
        <v>0</v>
      </c>
      <c r="IS47" s="167">
        <v>0</v>
      </c>
      <c r="IT47" s="162">
        <v>0</v>
      </c>
      <c r="IU47" s="162">
        <v>0</v>
      </c>
      <c r="IV47" s="162">
        <v>0</v>
      </c>
      <c r="IW47" s="162">
        <v>0</v>
      </c>
      <c r="IX47" s="162">
        <v>0</v>
      </c>
      <c r="IY47" s="162">
        <v>0</v>
      </c>
      <c r="IZ47" s="162">
        <v>0</v>
      </c>
      <c r="JA47" s="162">
        <v>0</v>
      </c>
      <c r="JB47" s="162">
        <v>0</v>
      </c>
      <c r="JC47" s="162">
        <v>0</v>
      </c>
      <c r="JD47" s="162">
        <v>0</v>
      </c>
      <c r="JE47" s="162">
        <v>0</v>
      </c>
      <c r="JF47" s="162">
        <v>0</v>
      </c>
      <c r="JG47" s="162">
        <v>0</v>
      </c>
      <c r="JH47" s="162">
        <v>0</v>
      </c>
      <c r="JI47" s="162">
        <v>0</v>
      </c>
      <c r="JJ47" s="162"/>
      <c r="JK47" s="162"/>
      <c r="JL47" s="162"/>
      <c r="JM47" s="162"/>
      <c r="JN47" s="162"/>
      <c r="JO47" s="162"/>
      <c r="JP47" s="162"/>
      <c r="JQ47" s="162"/>
    </row>
    <row r="48" spans="1:277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4">
        <v>0</v>
      </c>
      <c r="HK48" s="164">
        <v>0</v>
      </c>
      <c r="HL48" s="164">
        <v>0</v>
      </c>
      <c r="HM48" s="164">
        <v>0</v>
      </c>
      <c r="HN48" s="164">
        <v>0</v>
      </c>
      <c r="HO48" s="164">
        <v>0</v>
      </c>
      <c r="HP48" s="164">
        <v>0</v>
      </c>
      <c r="HQ48" s="164">
        <v>0</v>
      </c>
      <c r="HR48" s="164">
        <v>0</v>
      </c>
      <c r="HS48" s="164">
        <v>0</v>
      </c>
      <c r="HT48" s="164">
        <v>0</v>
      </c>
      <c r="HU48" s="164">
        <v>0</v>
      </c>
      <c r="HV48" s="164">
        <v>0</v>
      </c>
      <c r="HW48" s="164">
        <v>0</v>
      </c>
      <c r="HX48" s="164">
        <v>0</v>
      </c>
      <c r="HY48" s="164">
        <v>0</v>
      </c>
      <c r="HZ48" s="164">
        <v>0</v>
      </c>
      <c r="IA48" s="164">
        <v>0</v>
      </c>
      <c r="IB48" s="164">
        <v>0</v>
      </c>
      <c r="IC48" s="164">
        <v>0</v>
      </c>
      <c r="ID48" s="164">
        <v>0</v>
      </c>
      <c r="IE48" s="164">
        <v>0</v>
      </c>
      <c r="IF48" s="164">
        <v>0</v>
      </c>
      <c r="IG48" s="164">
        <v>0</v>
      </c>
      <c r="IH48" s="164">
        <v>0</v>
      </c>
      <c r="II48" s="164">
        <v>0</v>
      </c>
      <c r="IJ48" s="164">
        <v>0</v>
      </c>
      <c r="IK48" s="164">
        <v>0</v>
      </c>
      <c r="IL48" s="164">
        <v>0</v>
      </c>
      <c r="IM48" s="164">
        <v>0</v>
      </c>
      <c r="IN48" s="164">
        <v>0</v>
      </c>
      <c r="IO48" s="164">
        <v>0</v>
      </c>
      <c r="IP48" s="164">
        <v>0</v>
      </c>
      <c r="IQ48" s="164">
        <v>0</v>
      </c>
      <c r="IR48" s="164">
        <v>0</v>
      </c>
      <c r="IS48" s="164">
        <v>0</v>
      </c>
      <c r="IT48" s="159">
        <v>0</v>
      </c>
      <c r="IU48" s="159">
        <v>0</v>
      </c>
      <c r="IV48" s="159">
        <v>0</v>
      </c>
      <c r="IW48" s="159">
        <v>0</v>
      </c>
      <c r="IX48" s="159">
        <v>0</v>
      </c>
      <c r="IY48" s="159">
        <v>0</v>
      </c>
      <c r="IZ48" s="159">
        <v>0</v>
      </c>
      <c r="JA48" s="159">
        <v>0</v>
      </c>
      <c r="JB48" s="159">
        <v>0</v>
      </c>
      <c r="JC48" s="159">
        <v>0</v>
      </c>
      <c r="JD48" s="159">
        <v>0</v>
      </c>
      <c r="JE48" s="159">
        <v>0</v>
      </c>
      <c r="JF48" s="159">
        <v>0</v>
      </c>
      <c r="JG48" s="159">
        <v>0</v>
      </c>
      <c r="JH48" s="159">
        <v>0</v>
      </c>
      <c r="JI48" s="159">
        <v>0</v>
      </c>
      <c r="JJ48" s="159"/>
      <c r="JK48" s="159"/>
      <c r="JL48" s="159"/>
      <c r="JM48" s="159"/>
      <c r="JN48" s="159"/>
      <c r="JO48" s="159"/>
      <c r="JP48" s="159"/>
      <c r="JQ48" s="159"/>
    </row>
    <row r="49" spans="1:277" x14ac:dyDescent="0.25">
      <c r="A49" s="13" t="s">
        <v>153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4">
        <v>0.66928701000000002</v>
      </c>
      <c r="HK49" s="164">
        <v>3.5064679500000002</v>
      </c>
      <c r="HL49" s="164">
        <v>5.6392867210000004</v>
      </c>
      <c r="HM49" s="164">
        <v>3.8618465839999998</v>
      </c>
      <c r="HN49" s="164">
        <v>2.0574687250000001</v>
      </c>
      <c r="HO49" s="164">
        <v>7.5181014089999998</v>
      </c>
      <c r="HP49" s="164">
        <v>7.1654252170000001</v>
      </c>
      <c r="HQ49" s="164">
        <v>5.6760161989999993</v>
      </c>
      <c r="HR49" s="164">
        <v>3.5302225149999997</v>
      </c>
      <c r="HS49" s="164">
        <v>4.0809897820000005</v>
      </c>
      <c r="HT49" s="164">
        <v>2.6073906290000002</v>
      </c>
      <c r="HU49" s="164">
        <v>5.0992841580000006</v>
      </c>
      <c r="HV49" s="164">
        <v>3.1528936610000002</v>
      </c>
      <c r="HW49" s="164">
        <v>5.5770433220000006</v>
      </c>
      <c r="HX49" s="164">
        <v>2.7896342810000001</v>
      </c>
      <c r="HY49" s="164">
        <v>7.7599792150000004</v>
      </c>
      <c r="HZ49" s="164">
        <v>5.1520152680000004</v>
      </c>
      <c r="IA49" s="164">
        <v>6.0622959090000004</v>
      </c>
      <c r="IB49" s="164">
        <v>2.0887943949999999</v>
      </c>
      <c r="IC49" s="164">
        <v>11.877859946000001</v>
      </c>
      <c r="ID49" s="164">
        <v>2.7038656159999999</v>
      </c>
      <c r="IE49" s="164">
        <v>2.0049638570000003</v>
      </c>
      <c r="IF49" s="164">
        <v>4.0330299410000006</v>
      </c>
      <c r="IG49" s="164">
        <v>1.4778019199999999</v>
      </c>
      <c r="IH49" s="164">
        <v>2.2444666959999999</v>
      </c>
      <c r="II49" s="164">
        <v>4.4900362889999998</v>
      </c>
      <c r="IJ49" s="164">
        <v>5.638468166</v>
      </c>
      <c r="IK49" s="164">
        <v>7.2022718260000005</v>
      </c>
      <c r="IL49" s="164">
        <v>5.0149778630000004</v>
      </c>
      <c r="IM49" s="164">
        <v>5.9193940879999998</v>
      </c>
      <c r="IN49" s="164">
        <v>8.8656078980000004</v>
      </c>
      <c r="IO49" s="164">
        <v>4.9589981730000003</v>
      </c>
      <c r="IP49" s="164">
        <v>11.461184628000002</v>
      </c>
      <c r="IQ49" s="164">
        <v>3.8846130880000005</v>
      </c>
      <c r="IR49" s="164">
        <v>1.9458225689999999</v>
      </c>
      <c r="IS49" s="164">
        <v>2.5967533340000002</v>
      </c>
      <c r="IT49" s="159">
        <v>2.6667584020000001</v>
      </c>
      <c r="IU49" s="159">
        <v>1.807553103</v>
      </c>
      <c r="IV49" s="159">
        <v>3.9114824479999997</v>
      </c>
      <c r="IW49" s="159">
        <v>2.9815557349999997</v>
      </c>
      <c r="IX49" s="159">
        <v>15.717472501</v>
      </c>
      <c r="IY49" s="159">
        <v>1.5524617490000001</v>
      </c>
      <c r="IZ49" s="159">
        <v>6.3208455700000004</v>
      </c>
      <c r="JA49" s="159">
        <v>0.71384452300000001</v>
      </c>
      <c r="JB49" s="159">
        <v>1.09919173</v>
      </c>
      <c r="JC49" s="159">
        <v>3.978452576</v>
      </c>
      <c r="JD49" s="159">
        <v>8.6760293310000023</v>
      </c>
      <c r="JE49" s="159">
        <v>7.0471188739999997</v>
      </c>
      <c r="JF49" s="159">
        <v>0.44917211600000001</v>
      </c>
      <c r="JG49" s="159">
        <v>2.7220439399999998</v>
      </c>
      <c r="JH49" s="159">
        <v>1.5069597689999992</v>
      </c>
      <c r="JI49" s="159">
        <v>3.7601136689999999</v>
      </c>
      <c r="JJ49" s="159"/>
      <c r="JK49" s="159"/>
      <c r="JL49" s="159"/>
      <c r="JM49" s="159"/>
      <c r="JN49" s="159"/>
      <c r="JO49" s="159"/>
      <c r="JP49" s="159"/>
      <c r="JQ49" s="159"/>
    </row>
    <row r="50" spans="1:277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7">
        <v>0.66928701000000002</v>
      </c>
      <c r="HK50" s="167">
        <v>3.5064679500000002</v>
      </c>
      <c r="HL50" s="167">
        <v>5.6392867210000004</v>
      </c>
      <c r="HM50" s="167">
        <v>3.7550606399999999</v>
      </c>
      <c r="HN50" s="167">
        <v>2.0574687250000001</v>
      </c>
      <c r="HO50" s="167">
        <v>7.5181014089999998</v>
      </c>
      <c r="HP50" s="167">
        <v>7.1654252170000001</v>
      </c>
      <c r="HQ50" s="167">
        <v>5.6760161989999993</v>
      </c>
      <c r="HR50" s="167">
        <v>3.5302225149999997</v>
      </c>
      <c r="HS50" s="167">
        <v>4.0809897820000005</v>
      </c>
      <c r="HT50" s="167">
        <v>2.6073906290000002</v>
      </c>
      <c r="HU50" s="167">
        <v>4.8572026210000008</v>
      </c>
      <c r="HV50" s="167">
        <v>3.1528936610000002</v>
      </c>
      <c r="HW50" s="167">
        <v>5.5770433220000006</v>
      </c>
      <c r="HX50" s="167">
        <v>2.7896342810000001</v>
      </c>
      <c r="HY50" s="167">
        <v>7.7599792150000004</v>
      </c>
      <c r="HZ50" s="167">
        <v>5.1520152680000004</v>
      </c>
      <c r="IA50" s="167">
        <v>6.0622959090000004</v>
      </c>
      <c r="IB50" s="167">
        <v>2.0887943949999999</v>
      </c>
      <c r="IC50" s="167">
        <v>11.877859946000001</v>
      </c>
      <c r="ID50" s="167">
        <v>2.7038656159999999</v>
      </c>
      <c r="IE50" s="167">
        <v>2.0049638570000003</v>
      </c>
      <c r="IF50" s="167">
        <v>4.0330299410000006</v>
      </c>
      <c r="IG50" s="167">
        <v>1.4705019319999999</v>
      </c>
      <c r="IH50" s="167">
        <v>2.2444666959999999</v>
      </c>
      <c r="II50" s="167">
        <v>4.4900362889999998</v>
      </c>
      <c r="IJ50" s="167">
        <v>5.638468166</v>
      </c>
      <c r="IK50" s="167">
        <v>7.2022718260000005</v>
      </c>
      <c r="IL50" s="167">
        <v>5.0149778630000004</v>
      </c>
      <c r="IM50" s="167">
        <v>5.9193940879999998</v>
      </c>
      <c r="IN50" s="167">
        <v>8.8656078980000004</v>
      </c>
      <c r="IO50" s="167">
        <v>4.9589981730000003</v>
      </c>
      <c r="IP50" s="167">
        <v>11.461184628000002</v>
      </c>
      <c r="IQ50" s="167">
        <v>3.8846130880000005</v>
      </c>
      <c r="IR50" s="167">
        <v>1.9458225689999999</v>
      </c>
      <c r="IS50" s="167">
        <v>2.5967533340000002</v>
      </c>
      <c r="IT50" s="162">
        <v>2.6667584020000001</v>
      </c>
      <c r="IU50" s="162">
        <v>1.807553103</v>
      </c>
      <c r="IV50" s="162">
        <v>3.9114824479999997</v>
      </c>
      <c r="IW50" s="162">
        <v>2.9815557349999997</v>
      </c>
      <c r="IX50" s="162">
        <v>15.717472501</v>
      </c>
      <c r="IY50" s="162">
        <v>1.5524617490000001</v>
      </c>
      <c r="IZ50" s="162">
        <v>6.3208455700000004</v>
      </c>
      <c r="JA50" s="162">
        <v>0.71384452300000001</v>
      </c>
      <c r="JB50" s="162">
        <v>1.09919173</v>
      </c>
      <c r="JC50" s="162">
        <v>3.978452576</v>
      </c>
      <c r="JD50" s="162">
        <v>8.6760293310000023</v>
      </c>
      <c r="JE50" s="162">
        <v>7.0471188739999997</v>
      </c>
      <c r="JF50" s="162">
        <v>0.44917211600000001</v>
      </c>
      <c r="JG50" s="162">
        <v>2.7220439399999998</v>
      </c>
      <c r="JH50" s="162">
        <v>1.5069597689999992</v>
      </c>
      <c r="JI50" s="162">
        <v>3.7601136689999999</v>
      </c>
      <c r="JJ50" s="162"/>
      <c r="JK50" s="162"/>
      <c r="JL50" s="162"/>
      <c r="JM50" s="162"/>
      <c r="JN50" s="162"/>
      <c r="JO50" s="162"/>
      <c r="JP50" s="162"/>
      <c r="JQ50" s="162"/>
    </row>
    <row r="51" spans="1:277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4">
        <v>0</v>
      </c>
      <c r="HK51" s="164">
        <v>0</v>
      </c>
      <c r="HL51" s="164">
        <v>0</v>
      </c>
      <c r="HM51" s="164">
        <v>0.10678594399999999</v>
      </c>
      <c r="HN51" s="164">
        <v>0</v>
      </c>
      <c r="HO51" s="164">
        <v>0</v>
      </c>
      <c r="HP51" s="164">
        <v>0</v>
      </c>
      <c r="HQ51" s="164">
        <v>0</v>
      </c>
      <c r="HR51" s="164">
        <v>0</v>
      </c>
      <c r="HS51" s="164">
        <v>0</v>
      </c>
      <c r="HT51" s="164">
        <v>0</v>
      </c>
      <c r="HU51" s="164">
        <v>0.24208153699999999</v>
      </c>
      <c r="HV51" s="164">
        <v>0</v>
      </c>
      <c r="HW51" s="164">
        <v>0</v>
      </c>
      <c r="HX51" s="164">
        <v>0</v>
      </c>
      <c r="HY51" s="164">
        <v>0</v>
      </c>
      <c r="HZ51" s="164">
        <v>0</v>
      </c>
      <c r="IA51" s="164">
        <v>0</v>
      </c>
      <c r="IB51" s="164">
        <v>0</v>
      </c>
      <c r="IC51" s="164">
        <v>0</v>
      </c>
      <c r="ID51" s="164">
        <v>0</v>
      </c>
      <c r="IE51" s="164">
        <v>0</v>
      </c>
      <c r="IF51" s="164">
        <v>0</v>
      </c>
      <c r="IG51" s="164">
        <v>7.2999880000000003E-3</v>
      </c>
      <c r="IH51" s="164">
        <v>0</v>
      </c>
      <c r="II51" s="164">
        <v>0</v>
      </c>
      <c r="IJ51" s="164">
        <v>0</v>
      </c>
      <c r="IK51" s="164">
        <v>0</v>
      </c>
      <c r="IL51" s="164">
        <v>0</v>
      </c>
      <c r="IM51" s="164">
        <v>0</v>
      </c>
      <c r="IN51" s="164">
        <v>0</v>
      </c>
      <c r="IO51" s="164">
        <v>0</v>
      </c>
      <c r="IP51" s="164">
        <v>0</v>
      </c>
      <c r="IQ51" s="164">
        <v>0</v>
      </c>
      <c r="IR51" s="164">
        <v>0</v>
      </c>
      <c r="IS51" s="164">
        <v>0</v>
      </c>
      <c r="IT51" s="159">
        <v>0</v>
      </c>
      <c r="IU51" s="159">
        <v>0</v>
      </c>
      <c r="IV51" s="159">
        <v>0</v>
      </c>
      <c r="IW51" s="159">
        <v>0</v>
      </c>
      <c r="IX51" s="159">
        <v>0</v>
      </c>
      <c r="IY51" s="159">
        <v>0</v>
      </c>
      <c r="IZ51" s="159">
        <v>0</v>
      </c>
      <c r="JA51" s="159">
        <v>0</v>
      </c>
      <c r="JB51" s="159">
        <v>0</v>
      </c>
      <c r="JC51" s="159">
        <v>0</v>
      </c>
      <c r="JD51" s="159">
        <v>0</v>
      </c>
      <c r="JE51" s="159">
        <v>0</v>
      </c>
      <c r="JF51" s="159">
        <v>0</v>
      </c>
      <c r="JG51" s="159">
        <v>0</v>
      </c>
      <c r="JH51" s="159">
        <v>0</v>
      </c>
      <c r="JI51" s="159">
        <v>0</v>
      </c>
      <c r="JJ51" s="159"/>
      <c r="JK51" s="159"/>
      <c r="JL51" s="159"/>
      <c r="JM51" s="159"/>
      <c r="JN51" s="159"/>
      <c r="JO51" s="159"/>
      <c r="JP51" s="159"/>
      <c r="JQ51" s="159"/>
    </row>
    <row r="52" spans="1:277" x14ac:dyDescent="0.25">
      <c r="A52" s="13" t="s">
        <v>154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4">
        <v>181.341411091</v>
      </c>
      <c r="HK52" s="164">
        <v>385.91738994499997</v>
      </c>
      <c r="HL52" s="164">
        <v>360.85312959999999</v>
      </c>
      <c r="HM52" s="164">
        <v>425.32011278099998</v>
      </c>
      <c r="HN52" s="164">
        <v>379.75827940000005</v>
      </c>
      <c r="HO52" s="164">
        <v>376.16636287099999</v>
      </c>
      <c r="HP52" s="164">
        <v>375.14264947200002</v>
      </c>
      <c r="HQ52" s="164">
        <v>342.94069968500003</v>
      </c>
      <c r="HR52" s="164">
        <v>342.60224107299996</v>
      </c>
      <c r="HS52" s="164">
        <v>410.91083505199998</v>
      </c>
      <c r="HT52" s="164">
        <v>378.648813561</v>
      </c>
      <c r="HU52" s="164">
        <v>758.37827643700007</v>
      </c>
      <c r="HV52" s="164">
        <v>178.75361067000003</v>
      </c>
      <c r="HW52" s="164">
        <v>298.87690530699996</v>
      </c>
      <c r="HX52" s="164">
        <v>365.12289758899999</v>
      </c>
      <c r="HY52" s="164">
        <v>437.28073781899997</v>
      </c>
      <c r="HZ52" s="164">
        <v>394.45075673399998</v>
      </c>
      <c r="IA52" s="164">
        <v>388.234656685</v>
      </c>
      <c r="IB52" s="164">
        <v>412.32575068800008</v>
      </c>
      <c r="IC52" s="164">
        <v>355.64025574700003</v>
      </c>
      <c r="ID52" s="164">
        <v>395.47068978499993</v>
      </c>
      <c r="IE52" s="164">
        <v>429.66036855000004</v>
      </c>
      <c r="IF52" s="164">
        <v>447.28206107400001</v>
      </c>
      <c r="IG52" s="164">
        <v>580.46591177400001</v>
      </c>
      <c r="IH52" s="164">
        <v>299.61482596100001</v>
      </c>
      <c r="II52" s="164">
        <v>371.32845624100003</v>
      </c>
      <c r="IJ52" s="164">
        <v>401.85798513800006</v>
      </c>
      <c r="IK52" s="164">
        <v>479.02433666399997</v>
      </c>
      <c r="IL52" s="164">
        <v>414.80375485600001</v>
      </c>
      <c r="IM52" s="164">
        <v>339.37392405799994</v>
      </c>
      <c r="IN52" s="164">
        <v>402.86263168800008</v>
      </c>
      <c r="IO52" s="164">
        <v>435.02445174700006</v>
      </c>
      <c r="IP52" s="164">
        <v>472.89827794899998</v>
      </c>
      <c r="IQ52" s="164">
        <v>426.3226123</v>
      </c>
      <c r="IR52" s="164">
        <v>417.41348724099993</v>
      </c>
      <c r="IS52" s="164">
        <v>646.90349418000005</v>
      </c>
      <c r="IT52" s="159">
        <v>367.97391044199998</v>
      </c>
      <c r="IU52" s="159">
        <v>358.41498361000004</v>
      </c>
      <c r="IV52" s="159">
        <v>421.251958468</v>
      </c>
      <c r="IW52" s="159">
        <v>467.43634510399994</v>
      </c>
      <c r="IX52" s="159">
        <v>396.51577592399997</v>
      </c>
      <c r="IY52" s="159">
        <v>424.10692420300006</v>
      </c>
      <c r="IZ52" s="159">
        <v>863.97430764299997</v>
      </c>
      <c r="JA52" s="159">
        <v>469.18117385300002</v>
      </c>
      <c r="JB52" s="159">
        <v>516.991459588</v>
      </c>
      <c r="JC52" s="159">
        <v>498.88001611499999</v>
      </c>
      <c r="JD52" s="159">
        <v>520.47214813000005</v>
      </c>
      <c r="JE52" s="159">
        <v>635.92571959400004</v>
      </c>
      <c r="JF52" s="159">
        <v>341.63593219399996</v>
      </c>
      <c r="JG52" s="159">
        <v>414.86851870499993</v>
      </c>
      <c r="JH52" s="159">
        <v>632.70093795999992</v>
      </c>
      <c r="JI52" s="159">
        <v>446.39532824700001</v>
      </c>
      <c r="JJ52" s="159"/>
      <c r="JK52" s="159"/>
      <c r="JL52" s="159"/>
      <c r="JM52" s="159"/>
      <c r="JN52" s="159"/>
      <c r="JO52" s="159"/>
      <c r="JP52" s="159"/>
      <c r="JQ52" s="159"/>
    </row>
    <row r="53" spans="1:277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7">
        <v>180.843473754</v>
      </c>
      <c r="HK53" s="167">
        <v>237.661585027</v>
      </c>
      <c r="HL53" s="167">
        <v>266.45828618000002</v>
      </c>
      <c r="HM53" s="167">
        <v>264.07780742400001</v>
      </c>
      <c r="HN53" s="167">
        <v>281.40344815100002</v>
      </c>
      <c r="HO53" s="167">
        <v>294.91593565599999</v>
      </c>
      <c r="HP53" s="167">
        <v>283.89934567699999</v>
      </c>
      <c r="HQ53" s="167">
        <v>263.449292662</v>
      </c>
      <c r="HR53" s="167">
        <v>269.56685088899997</v>
      </c>
      <c r="HS53" s="167">
        <v>281.856193018</v>
      </c>
      <c r="HT53" s="167">
        <v>267.917039461</v>
      </c>
      <c r="HU53" s="167">
        <v>489.81014202100005</v>
      </c>
      <c r="HV53" s="167">
        <v>175.00471826200004</v>
      </c>
      <c r="HW53" s="167">
        <v>225.46952313999998</v>
      </c>
      <c r="HX53" s="167">
        <v>279.27905410800003</v>
      </c>
      <c r="HY53" s="167">
        <v>273.92907905299995</v>
      </c>
      <c r="HZ53" s="167">
        <v>283.17093949899999</v>
      </c>
      <c r="IA53" s="167">
        <v>256.19563665800001</v>
      </c>
      <c r="IB53" s="167">
        <v>293.65308302100004</v>
      </c>
      <c r="IC53" s="167">
        <v>264.17495083300003</v>
      </c>
      <c r="ID53" s="167">
        <v>283.58415146399994</v>
      </c>
      <c r="IE53" s="167">
        <v>248.50498493600003</v>
      </c>
      <c r="IF53" s="167">
        <v>284.76021459600003</v>
      </c>
      <c r="IG53" s="167">
        <v>433.861578614</v>
      </c>
      <c r="IH53" s="167">
        <v>202.96262200300001</v>
      </c>
      <c r="II53" s="167">
        <v>272.46587209600006</v>
      </c>
      <c r="IJ53" s="167">
        <v>302.55868385800005</v>
      </c>
      <c r="IK53" s="167">
        <v>324.99023718399997</v>
      </c>
      <c r="IL53" s="167">
        <v>290.82408961499999</v>
      </c>
      <c r="IM53" s="167">
        <v>233.73494453099997</v>
      </c>
      <c r="IN53" s="167">
        <v>268.02734554200003</v>
      </c>
      <c r="IO53" s="167">
        <v>293.55282689500007</v>
      </c>
      <c r="IP53" s="167">
        <v>318.86231609399994</v>
      </c>
      <c r="IQ53" s="167">
        <v>302.00473181899997</v>
      </c>
      <c r="IR53" s="167">
        <v>292.66930648999994</v>
      </c>
      <c r="IS53" s="167">
        <v>451.91310737500004</v>
      </c>
      <c r="IT53" s="162">
        <v>240.46888030199997</v>
      </c>
      <c r="IU53" s="162">
        <v>261.28286626300002</v>
      </c>
      <c r="IV53" s="162">
        <v>309.09872900900001</v>
      </c>
      <c r="IW53" s="162">
        <v>324.89001471599994</v>
      </c>
      <c r="IX53" s="162">
        <v>299.83299377099996</v>
      </c>
      <c r="IY53" s="162">
        <v>290.89957685900004</v>
      </c>
      <c r="IZ53" s="162">
        <v>418.64382420099997</v>
      </c>
      <c r="JA53" s="162">
        <v>336.096041415</v>
      </c>
      <c r="JB53" s="162">
        <v>348.22216657600001</v>
      </c>
      <c r="JC53" s="162">
        <v>350.89598977899999</v>
      </c>
      <c r="JD53" s="162">
        <v>324.85858336400003</v>
      </c>
      <c r="JE53" s="162">
        <v>455.57638319900002</v>
      </c>
      <c r="JF53" s="162">
        <v>231.00867597699997</v>
      </c>
      <c r="JG53" s="162">
        <v>297.45527364799995</v>
      </c>
      <c r="JH53" s="162">
        <v>416.22886815399994</v>
      </c>
      <c r="JI53" s="162">
        <v>308.01999724699999</v>
      </c>
      <c r="JJ53" s="162"/>
      <c r="JK53" s="162"/>
      <c r="JL53" s="162"/>
      <c r="JM53" s="162"/>
      <c r="JN53" s="162"/>
      <c r="JO53" s="162"/>
      <c r="JP53" s="162"/>
      <c r="JQ53" s="162"/>
    </row>
    <row r="54" spans="1:277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4">
        <v>0.49793733700000004</v>
      </c>
      <c r="HK54" s="164">
        <v>148.255804918</v>
      </c>
      <c r="HL54" s="164">
        <v>94.394843419999987</v>
      </c>
      <c r="HM54" s="164">
        <v>161.24230535699996</v>
      </c>
      <c r="HN54" s="164">
        <v>98.354831249000014</v>
      </c>
      <c r="HO54" s="164">
        <v>81.250427215000002</v>
      </c>
      <c r="HP54" s="164">
        <v>91.243303795000003</v>
      </c>
      <c r="HQ54" s="164">
        <v>79.491407023000008</v>
      </c>
      <c r="HR54" s="164">
        <v>73.035390184000008</v>
      </c>
      <c r="HS54" s="164">
        <v>129.05464203399998</v>
      </c>
      <c r="HT54" s="164">
        <v>110.73177410000001</v>
      </c>
      <c r="HU54" s="164">
        <v>268.56813441599996</v>
      </c>
      <c r="HV54" s="164">
        <v>3.7488924080000001</v>
      </c>
      <c r="HW54" s="164">
        <v>73.407382166999994</v>
      </c>
      <c r="HX54" s="164">
        <v>85.843843480999993</v>
      </c>
      <c r="HY54" s="164">
        <v>163.35165876600001</v>
      </c>
      <c r="HZ54" s="164">
        <v>111.279817235</v>
      </c>
      <c r="IA54" s="164">
        <v>132.03902002700002</v>
      </c>
      <c r="IB54" s="164">
        <v>118.67266766700001</v>
      </c>
      <c r="IC54" s="164">
        <v>91.465304913999987</v>
      </c>
      <c r="ID54" s="164">
        <v>111.886538321</v>
      </c>
      <c r="IE54" s="164">
        <v>181.15538361399999</v>
      </c>
      <c r="IF54" s="164">
        <v>162.52184647800001</v>
      </c>
      <c r="IG54" s="164">
        <v>146.60433316000001</v>
      </c>
      <c r="IH54" s="164">
        <v>96.652203958000001</v>
      </c>
      <c r="II54" s="164">
        <v>98.862584145</v>
      </c>
      <c r="IJ54" s="164">
        <v>99.299301279999995</v>
      </c>
      <c r="IK54" s="164">
        <v>154.03409948000001</v>
      </c>
      <c r="IL54" s="164">
        <v>123.97966524100001</v>
      </c>
      <c r="IM54" s="164">
        <v>105.63897952699999</v>
      </c>
      <c r="IN54" s="164">
        <v>134.83528614600002</v>
      </c>
      <c r="IO54" s="164">
        <v>141.47162485200002</v>
      </c>
      <c r="IP54" s="164">
        <v>154.03596185500001</v>
      </c>
      <c r="IQ54" s="164">
        <v>124.31788048100002</v>
      </c>
      <c r="IR54" s="164">
        <v>124.744180751</v>
      </c>
      <c r="IS54" s="164">
        <v>194.99038680499999</v>
      </c>
      <c r="IT54" s="159">
        <v>127.50503014</v>
      </c>
      <c r="IU54" s="159">
        <v>97.132117346999991</v>
      </c>
      <c r="IV54" s="159">
        <v>112.15322945899999</v>
      </c>
      <c r="IW54" s="159">
        <v>142.546330388</v>
      </c>
      <c r="IX54" s="159">
        <v>96.682782152999991</v>
      </c>
      <c r="IY54" s="159">
        <v>133.207347344</v>
      </c>
      <c r="IZ54" s="159">
        <v>445.330483442</v>
      </c>
      <c r="JA54" s="159">
        <v>133.08513243799999</v>
      </c>
      <c r="JB54" s="159">
        <v>168.76929301199999</v>
      </c>
      <c r="JC54" s="159">
        <v>147.984026336</v>
      </c>
      <c r="JD54" s="159">
        <v>195.613564766</v>
      </c>
      <c r="JE54" s="159">
        <v>180.34933639499999</v>
      </c>
      <c r="JF54" s="159">
        <v>110.62725621699998</v>
      </c>
      <c r="JG54" s="159">
        <v>117.41324505700001</v>
      </c>
      <c r="JH54" s="159">
        <v>216.47206980600001</v>
      </c>
      <c r="JI54" s="159">
        <v>138.37533100000002</v>
      </c>
      <c r="JJ54" s="159"/>
      <c r="JK54" s="159"/>
      <c r="JL54" s="159"/>
      <c r="JM54" s="159"/>
      <c r="JN54" s="159"/>
      <c r="JO54" s="159"/>
      <c r="JP54" s="159"/>
      <c r="JQ54" s="159"/>
    </row>
    <row r="55" spans="1:277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7">
        <v>501.03440889699999</v>
      </c>
      <c r="HK55" s="167">
        <v>479.136658614</v>
      </c>
      <c r="HL55" s="167">
        <v>541.91046815699997</v>
      </c>
      <c r="HM55" s="167">
        <v>490.02347988900004</v>
      </c>
      <c r="HN55" s="167">
        <v>545.66746018000003</v>
      </c>
      <c r="HO55" s="167">
        <v>488.26043384400003</v>
      </c>
      <c r="HP55" s="167">
        <v>553.11653568999998</v>
      </c>
      <c r="HQ55" s="167">
        <v>481.67302708700004</v>
      </c>
      <c r="HR55" s="167">
        <v>545.89265405800006</v>
      </c>
      <c r="HS55" s="167">
        <v>469.25483080600003</v>
      </c>
      <c r="HT55" s="167">
        <v>515.93060813800003</v>
      </c>
      <c r="HU55" s="167">
        <v>883.77359831199999</v>
      </c>
      <c r="HV55" s="167">
        <v>558.01460446999999</v>
      </c>
      <c r="HW55" s="167">
        <v>547.137139488</v>
      </c>
      <c r="HX55" s="167">
        <v>668.74631575399997</v>
      </c>
      <c r="HY55" s="167">
        <v>546.71720772499998</v>
      </c>
      <c r="HZ55" s="167">
        <v>599.58814249299996</v>
      </c>
      <c r="IA55" s="167">
        <v>597.26568690900001</v>
      </c>
      <c r="IB55" s="167">
        <v>630.49724762400001</v>
      </c>
      <c r="IC55" s="167">
        <v>635.25651790899997</v>
      </c>
      <c r="ID55" s="167">
        <v>730.64940378999995</v>
      </c>
      <c r="IE55" s="167">
        <v>592.29412067200008</v>
      </c>
      <c r="IF55" s="167">
        <v>724.31812427500006</v>
      </c>
      <c r="IG55" s="167">
        <v>918.96266928399996</v>
      </c>
      <c r="IH55" s="167">
        <v>610.447964361</v>
      </c>
      <c r="II55" s="167">
        <v>739.55053188700003</v>
      </c>
      <c r="IJ55" s="167">
        <v>758.81322253100006</v>
      </c>
      <c r="IK55" s="167">
        <v>758.67116838799984</v>
      </c>
      <c r="IL55" s="167">
        <v>677.11840093300009</v>
      </c>
      <c r="IM55" s="167">
        <v>755.66983923800001</v>
      </c>
      <c r="IN55" s="167">
        <v>726.43484904700006</v>
      </c>
      <c r="IO55" s="167">
        <v>763.33991503600009</v>
      </c>
      <c r="IP55" s="167">
        <v>694.19669639600011</v>
      </c>
      <c r="IQ55" s="167">
        <v>782.76541107599985</v>
      </c>
      <c r="IR55" s="167">
        <v>692.1194494990001</v>
      </c>
      <c r="IS55" s="167">
        <v>1202.660037652</v>
      </c>
      <c r="IT55" s="162">
        <v>681.90167386099995</v>
      </c>
      <c r="IU55" s="162">
        <v>754.40971622400002</v>
      </c>
      <c r="IV55" s="162">
        <v>757.09387550499991</v>
      </c>
      <c r="IW55" s="162">
        <v>750.09373792200006</v>
      </c>
      <c r="IX55" s="162">
        <v>740.19488153200007</v>
      </c>
      <c r="IY55" s="162">
        <v>744.65206402299998</v>
      </c>
      <c r="IZ55" s="162">
        <v>749.37541258599992</v>
      </c>
      <c r="JA55" s="162">
        <v>743.09611486999995</v>
      </c>
      <c r="JB55" s="162">
        <v>764.41963660299996</v>
      </c>
      <c r="JC55" s="162">
        <v>798.26868409099995</v>
      </c>
      <c r="JD55" s="162">
        <v>849.23801163199994</v>
      </c>
      <c r="JE55" s="162">
        <v>1275.4656262830001</v>
      </c>
      <c r="JF55" s="162">
        <v>818.75361103</v>
      </c>
      <c r="JG55" s="162">
        <v>862.11454858799993</v>
      </c>
      <c r="JH55" s="162">
        <v>814.87698024500003</v>
      </c>
      <c r="JI55" s="162">
        <v>859.83719743500001</v>
      </c>
      <c r="JJ55" s="162"/>
      <c r="JK55" s="162"/>
      <c r="JL55" s="162"/>
      <c r="JM55" s="162"/>
      <c r="JN55" s="162"/>
      <c r="JO55" s="162"/>
      <c r="JP55" s="162"/>
      <c r="JQ55" s="162"/>
    </row>
    <row r="56" spans="1:277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4">
        <v>286.082180365</v>
      </c>
      <c r="HK56" s="164">
        <v>292.79059751400001</v>
      </c>
      <c r="HL56" s="164">
        <v>303.45636434100004</v>
      </c>
      <c r="HM56" s="164">
        <v>296.16602255600003</v>
      </c>
      <c r="HN56" s="164">
        <v>300.52011501700002</v>
      </c>
      <c r="HO56" s="164">
        <v>294.848576428</v>
      </c>
      <c r="HP56" s="164">
        <v>298.26176945399999</v>
      </c>
      <c r="HQ56" s="164">
        <v>301.71719897000003</v>
      </c>
      <c r="HR56" s="164">
        <v>302.792174381</v>
      </c>
      <c r="HS56" s="164">
        <v>299.64305744300003</v>
      </c>
      <c r="HT56" s="164">
        <v>310.73532037400003</v>
      </c>
      <c r="HU56" s="164">
        <v>310.72400394800002</v>
      </c>
      <c r="HV56" s="164">
        <v>312.32300265599997</v>
      </c>
      <c r="HW56" s="164">
        <v>331.42198351800005</v>
      </c>
      <c r="HX56" s="164">
        <v>334.05569344399998</v>
      </c>
      <c r="HY56" s="164">
        <v>335.54895570399998</v>
      </c>
      <c r="HZ56" s="164">
        <v>340.56868284500001</v>
      </c>
      <c r="IA56" s="164">
        <v>341.02945903299997</v>
      </c>
      <c r="IB56" s="164">
        <v>344.66857101300002</v>
      </c>
      <c r="IC56" s="164">
        <v>359.303275085</v>
      </c>
      <c r="ID56" s="164">
        <v>346.64644049999998</v>
      </c>
      <c r="IE56" s="164">
        <v>348.20600613600004</v>
      </c>
      <c r="IF56" s="164">
        <v>351.10722996100003</v>
      </c>
      <c r="IG56" s="164">
        <v>357.69012692800004</v>
      </c>
      <c r="IH56" s="164">
        <v>361.184453249</v>
      </c>
      <c r="II56" s="164">
        <v>392.58435272100002</v>
      </c>
      <c r="IJ56" s="164">
        <v>393.12575886500002</v>
      </c>
      <c r="IK56" s="164">
        <v>399.79406151699999</v>
      </c>
      <c r="IL56" s="164">
        <v>394.38746515400004</v>
      </c>
      <c r="IM56" s="164">
        <v>391.48082533199999</v>
      </c>
      <c r="IN56" s="164">
        <v>399.55089403199997</v>
      </c>
      <c r="IO56" s="164">
        <v>403.20626392700001</v>
      </c>
      <c r="IP56" s="164">
        <v>403.60310564700001</v>
      </c>
      <c r="IQ56" s="164">
        <v>406.50256355199997</v>
      </c>
      <c r="IR56" s="164">
        <v>405.29356861299999</v>
      </c>
      <c r="IS56" s="164">
        <v>410.327731449</v>
      </c>
      <c r="IT56" s="159">
        <v>401.50162616199998</v>
      </c>
      <c r="IU56" s="159">
        <v>449.94974522799998</v>
      </c>
      <c r="IV56" s="159">
        <v>438.43787432799996</v>
      </c>
      <c r="IW56" s="159">
        <v>447.49202055200004</v>
      </c>
      <c r="IX56" s="159">
        <v>431.94042629299997</v>
      </c>
      <c r="IY56" s="159">
        <v>426.96554845999998</v>
      </c>
      <c r="IZ56" s="159">
        <v>445.96629593199998</v>
      </c>
      <c r="JA56" s="159">
        <v>449.09443202099993</v>
      </c>
      <c r="JB56" s="159">
        <v>451.13063009699999</v>
      </c>
      <c r="JC56" s="159">
        <v>456.52747720900004</v>
      </c>
      <c r="JD56" s="159">
        <v>458.93183774900001</v>
      </c>
      <c r="JE56" s="159">
        <v>460.77501866100005</v>
      </c>
      <c r="JF56" s="159">
        <v>451.85031147100005</v>
      </c>
      <c r="JG56" s="159">
        <v>499.81483557799993</v>
      </c>
      <c r="JH56" s="159">
        <v>468.63518218099995</v>
      </c>
      <c r="JI56" s="159">
        <v>495.79143855900003</v>
      </c>
      <c r="JJ56" s="159"/>
      <c r="JK56" s="159"/>
      <c r="JL56" s="159"/>
      <c r="JM56" s="159"/>
      <c r="JN56" s="159"/>
      <c r="JO56" s="159"/>
      <c r="JP56" s="159"/>
      <c r="JQ56" s="159"/>
    </row>
    <row r="57" spans="1:277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4">
        <v>195.75128152600001</v>
      </c>
      <c r="HK57" s="164">
        <v>160.87615720700001</v>
      </c>
      <c r="HL57" s="164">
        <v>208.80188889299998</v>
      </c>
      <c r="HM57" s="164">
        <v>160.52663006899999</v>
      </c>
      <c r="HN57" s="164">
        <v>223.67378062899999</v>
      </c>
      <c r="HO57" s="164">
        <v>170.619080368</v>
      </c>
      <c r="HP57" s="164">
        <v>231.51635789699998</v>
      </c>
      <c r="HQ57" s="164">
        <v>157.328460888</v>
      </c>
      <c r="HR57" s="164">
        <v>222.46480175899998</v>
      </c>
      <c r="HS57" s="164">
        <v>148.82781401499997</v>
      </c>
      <c r="HT57" s="164">
        <v>180.45374373600001</v>
      </c>
      <c r="HU57" s="164">
        <v>546.541921366</v>
      </c>
      <c r="HV57" s="164">
        <v>222.61625670500001</v>
      </c>
      <c r="HW57" s="164">
        <v>163.65733162399999</v>
      </c>
      <c r="HX57" s="164">
        <v>234.34988693299999</v>
      </c>
      <c r="HY57" s="164">
        <v>167.02365900799998</v>
      </c>
      <c r="HZ57" s="164">
        <v>199.73179212400001</v>
      </c>
      <c r="IA57" s="164">
        <v>210.92575491099998</v>
      </c>
      <c r="IB57" s="164">
        <v>240.87436968599999</v>
      </c>
      <c r="IC57" s="164">
        <v>180.22229683</v>
      </c>
      <c r="ID57" s="164">
        <v>239.91005514900002</v>
      </c>
      <c r="IE57" s="164">
        <v>180.33913218799998</v>
      </c>
      <c r="IF57" s="164">
        <v>311.726232616</v>
      </c>
      <c r="IG57" s="164">
        <v>495.84512603299999</v>
      </c>
      <c r="IH57" s="164">
        <v>217.69475839900002</v>
      </c>
      <c r="II57" s="164">
        <v>280.33010949100003</v>
      </c>
      <c r="IJ57" s="164">
        <v>198.994553086</v>
      </c>
      <c r="IK57" s="164">
        <v>286.04875783299997</v>
      </c>
      <c r="IL57" s="164">
        <v>209.276399849</v>
      </c>
      <c r="IM57" s="164">
        <v>273.47520688599997</v>
      </c>
      <c r="IN57" s="164">
        <v>215.64821542999999</v>
      </c>
      <c r="IO57" s="164">
        <v>302.51916913700001</v>
      </c>
      <c r="IP57" s="164">
        <v>223.00429313200002</v>
      </c>
      <c r="IQ57" s="164">
        <v>297.33299452199998</v>
      </c>
      <c r="IR57" s="164">
        <v>259.51501582000003</v>
      </c>
      <c r="IS57" s="164">
        <v>700.44782445099997</v>
      </c>
      <c r="IT57" s="159">
        <v>260.599814525</v>
      </c>
      <c r="IU57" s="159">
        <v>269.79145231100006</v>
      </c>
      <c r="IV57" s="159">
        <v>279.85136358</v>
      </c>
      <c r="IW57" s="159">
        <v>275.81109014899999</v>
      </c>
      <c r="IX57" s="159">
        <v>281.50389901900002</v>
      </c>
      <c r="IY57" s="159">
        <v>293.55045695999996</v>
      </c>
      <c r="IZ57" s="159">
        <v>277.41823741799999</v>
      </c>
      <c r="JA57" s="159">
        <v>270.03846093800001</v>
      </c>
      <c r="JB57" s="159">
        <v>288.84409488699998</v>
      </c>
      <c r="JC57" s="159">
        <v>316.39361742</v>
      </c>
      <c r="JD57" s="159">
        <v>364.50758964200003</v>
      </c>
      <c r="JE57" s="159">
        <v>756.3602945570002</v>
      </c>
      <c r="JF57" s="159">
        <v>341.56147342100002</v>
      </c>
      <c r="JG57" s="159">
        <v>329.840290665</v>
      </c>
      <c r="JH57" s="159">
        <v>308.64348981000001</v>
      </c>
      <c r="JI57" s="159">
        <v>331.17007284100004</v>
      </c>
      <c r="JJ57" s="159"/>
      <c r="JK57" s="159"/>
      <c r="JL57" s="159"/>
      <c r="JM57" s="159"/>
      <c r="JN57" s="159"/>
      <c r="JO57" s="159"/>
      <c r="JP57" s="159"/>
      <c r="JQ57" s="159"/>
    </row>
    <row r="58" spans="1:277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4">
        <v>19.200947006</v>
      </c>
      <c r="HK58" s="164">
        <v>25.469903892999998</v>
      </c>
      <c r="HL58" s="164">
        <v>29.652214922999999</v>
      </c>
      <c r="HM58" s="164">
        <v>33.330827264</v>
      </c>
      <c r="HN58" s="164">
        <v>21.473564534000001</v>
      </c>
      <c r="HO58" s="164">
        <v>22.792777048000005</v>
      </c>
      <c r="HP58" s="164">
        <v>23.338408339000001</v>
      </c>
      <c r="HQ58" s="164">
        <v>22.627367229000001</v>
      </c>
      <c r="HR58" s="164">
        <v>20.635677918000003</v>
      </c>
      <c r="HS58" s="164">
        <v>20.783959348</v>
      </c>
      <c r="HT58" s="164">
        <v>24.741544028</v>
      </c>
      <c r="HU58" s="164">
        <v>26.507672998</v>
      </c>
      <c r="HV58" s="164">
        <v>23.075345109000001</v>
      </c>
      <c r="HW58" s="164">
        <v>52.057824346000004</v>
      </c>
      <c r="HX58" s="164">
        <v>100.340735377</v>
      </c>
      <c r="HY58" s="164">
        <v>44.144593012999998</v>
      </c>
      <c r="HZ58" s="164">
        <v>59.287667524000007</v>
      </c>
      <c r="IA58" s="164">
        <v>45.31047296500001</v>
      </c>
      <c r="IB58" s="164">
        <v>44.954306925000004</v>
      </c>
      <c r="IC58" s="164">
        <v>95.73094599400001</v>
      </c>
      <c r="ID58" s="164">
        <v>144.09290814099998</v>
      </c>
      <c r="IE58" s="164">
        <v>63.748982348000006</v>
      </c>
      <c r="IF58" s="164">
        <v>61.484661697999996</v>
      </c>
      <c r="IG58" s="164">
        <v>65.427416323000003</v>
      </c>
      <c r="IH58" s="164">
        <v>31.568752713000006</v>
      </c>
      <c r="II58" s="164">
        <v>66.636069675000002</v>
      </c>
      <c r="IJ58" s="164">
        <v>166.69291058000002</v>
      </c>
      <c r="IK58" s="164">
        <v>72.828349037999985</v>
      </c>
      <c r="IL58" s="164">
        <v>73.454535929999977</v>
      </c>
      <c r="IM58" s="164">
        <v>90.71380701999999</v>
      </c>
      <c r="IN58" s="164">
        <v>111.23573958499999</v>
      </c>
      <c r="IO58" s="164">
        <v>57.614481972</v>
      </c>
      <c r="IP58" s="164">
        <v>67.589297617</v>
      </c>
      <c r="IQ58" s="164">
        <v>78.929853002000002</v>
      </c>
      <c r="IR58" s="164">
        <v>27.310865065999998</v>
      </c>
      <c r="IS58" s="164">
        <v>91.884481751999999</v>
      </c>
      <c r="IT58" s="159">
        <v>19.800233174000002</v>
      </c>
      <c r="IU58" s="159">
        <v>34.668518685000002</v>
      </c>
      <c r="IV58" s="159">
        <v>38.804637597000003</v>
      </c>
      <c r="IW58" s="159">
        <v>26.790627221000001</v>
      </c>
      <c r="IX58" s="159">
        <v>26.75055622</v>
      </c>
      <c r="IY58" s="159">
        <v>24.136058603000002</v>
      </c>
      <c r="IZ58" s="159">
        <v>25.990879236000001</v>
      </c>
      <c r="JA58" s="159">
        <v>23.963221911000002</v>
      </c>
      <c r="JB58" s="159">
        <v>24.444911619000003</v>
      </c>
      <c r="JC58" s="159">
        <v>25.347589461999998</v>
      </c>
      <c r="JD58" s="159">
        <v>25.798584241000004</v>
      </c>
      <c r="JE58" s="159">
        <v>58.330313064999999</v>
      </c>
      <c r="JF58" s="159">
        <v>25.341826137999998</v>
      </c>
      <c r="JG58" s="159">
        <v>32.459422345</v>
      </c>
      <c r="JH58" s="159">
        <v>37.598308253999996</v>
      </c>
      <c r="JI58" s="159">
        <v>32.875686035000001</v>
      </c>
      <c r="JJ58" s="159"/>
      <c r="JK58" s="159"/>
      <c r="JL58" s="159"/>
      <c r="JM58" s="159"/>
      <c r="JN58" s="159"/>
      <c r="JO58" s="159"/>
      <c r="JP58" s="159"/>
      <c r="JQ58" s="159"/>
    </row>
    <row r="59" spans="1:277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4">
        <v>8.7232370110000002</v>
      </c>
      <c r="HK59" s="164">
        <v>36.922277418999997</v>
      </c>
      <c r="HL59" s="164">
        <v>266.32573536799998</v>
      </c>
      <c r="HM59" s="164">
        <v>112.82071161100001</v>
      </c>
      <c r="HN59" s="164">
        <v>73.184348212000003</v>
      </c>
      <c r="HO59" s="164">
        <v>54.698986129000005</v>
      </c>
      <c r="HP59" s="164">
        <v>298.66543189600003</v>
      </c>
      <c r="HQ59" s="164">
        <v>141.06646231500002</v>
      </c>
      <c r="HR59" s="164">
        <v>116.66541165300001</v>
      </c>
      <c r="HS59" s="164">
        <v>86.13614930899999</v>
      </c>
      <c r="HT59" s="164">
        <v>151.95670382499998</v>
      </c>
      <c r="HU59" s="164">
        <v>221.055129521</v>
      </c>
      <c r="HV59" s="164">
        <v>17.415824048999998</v>
      </c>
      <c r="HW59" s="164">
        <v>78.238105062000017</v>
      </c>
      <c r="HX59" s="164">
        <v>326.76362183000003</v>
      </c>
      <c r="HY59" s="164">
        <v>102.467831867</v>
      </c>
      <c r="HZ59" s="164">
        <v>98.991499309000005</v>
      </c>
      <c r="IA59" s="164">
        <v>113.05013703199999</v>
      </c>
      <c r="IB59" s="164">
        <v>358.61870580500005</v>
      </c>
      <c r="IC59" s="164">
        <v>99.222745038999989</v>
      </c>
      <c r="ID59" s="164">
        <v>87.804783721000007</v>
      </c>
      <c r="IE59" s="164">
        <v>125.66294286899999</v>
      </c>
      <c r="IF59" s="164">
        <v>157.00334591100003</v>
      </c>
      <c r="IG59" s="164">
        <v>180.805629861</v>
      </c>
      <c r="IH59" s="164">
        <v>48.702143448000001</v>
      </c>
      <c r="II59" s="164">
        <v>65.878293010000007</v>
      </c>
      <c r="IJ59" s="164">
        <v>289.038785163</v>
      </c>
      <c r="IK59" s="164">
        <v>103.99018276699999</v>
      </c>
      <c r="IL59" s="164">
        <v>148.08465399100001</v>
      </c>
      <c r="IM59" s="164">
        <v>101.05044324400001</v>
      </c>
      <c r="IN59" s="164">
        <v>292.63191656100003</v>
      </c>
      <c r="IO59" s="164">
        <v>80.197789756000006</v>
      </c>
      <c r="IP59" s="164">
        <v>105.43594014999999</v>
      </c>
      <c r="IQ59" s="164">
        <v>173.65320180700002</v>
      </c>
      <c r="IR59" s="164">
        <v>158.60008696199998</v>
      </c>
      <c r="IS59" s="164">
        <v>753.39653363100001</v>
      </c>
      <c r="IT59" s="159">
        <v>9.1606075030000014</v>
      </c>
      <c r="IU59" s="159">
        <v>120.791473983</v>
      </c>
      <c r="IV59" s="159">
        <v>160.37972028500002</v>
      </c>
      <c r="IW59" s="159">
        <v>163.72374456899999</v>
      </c>
      <c r="IX59" s="159">
        <v>270.08122899700004</v>
      </c>
      <c r="IY59" s="159">
        <v>192.33654062599999</v>
      </c>
      <c r="IZ59" s="159">
        <v>180.28372089200002</v>
      </c>
      <c r="JA59" s="159">
        <v>186.03403647300001</v>
      </c>
      <c r="JB59" s="159">
        <v>143.953139695</v>
      </c>
      <c r="JC59" s="159">
        <v>216.79086877200001</v>
      </c>
      <c r="JD59" s="159">
        <v>393.70136376300002</v>
      </c>
      <c r="JE59" s="159">
        <v>155.52126662799998</v>
      </c>
      <c r="JF59" s="159">
        <v>75.718996438000005</v>
      </c>
      <c r="JG59" s="159">
        <v>101.501845523</v>
      </c>
      <c r="JH59" s="159">
        <v>218.19763052999997</v>
      </c>
      <c r="JI59" s="159">
        <v>58.830591548000001</v>
      </c>
      <c r="JJ59" s="159"/>
      <c r="JK59" s="159"/>
      <c r="JL59" s="159"/>
      <c r="JM59" s="159"/>
      <c r="JN59" s="159"/>
      <c r="JO59" s="159"/>
      <c r="JP59" s="159"/>
      <c r="JQ59" s="159"/>
    </row>
    <row r="60" spans="1:277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7">
        <v>8.4503174180000009</v>
      </c>
      <c r="HK60" s="167">
        <v>11.023418969</v>
      </c>
      <c r="HL60" s="167">
        <v>22.997737848999996</v>
      </c>
      <c r="HM60" s="167">
        <v>71.675286880000002</v>
      </c>
      <c r="HN60" s="167">
        <v>30.894451137000001</v>
      </c>
      <c r="HO60" s="167">
        <v>23.537512322000001</v>
      </c>
      <c r="HP60" s="167">
        <v>21.108397910000001</v>
      </c>
      <c r="HQ60" s="167">
        <v>46.838838991000003</v>
      </c>
      <c r="HR60" s="167">
        <v>30.399054747999998</v>
      </c>
      <c r="HS60" s="167">
        <v>47.002787067999996</v>
      </c>
      <c r="HT60" s="167">
        <v>38.919646358999991</v>
      </c>
      <c r="HU60" s="167">
        <v>61.270292998000002</v>
      </c>
      <c r="HV60" s="167">
        <v>17.415824048999998</v>
      </c>
      <c r="HW60" s="167">
        <v>15.68162616</v>
      </c>
      <c r="HX60" s="167">
        <v>22.192588903000001</v>
      </c>
      <c r="HY60" s="167">
        <v>32.830961524999999</v>
      </c>
      <c r="HZ60" s="167">
        <v>32.891077420999999</v>
      </c>
      <c r="IA60" s="167">
        <v>49.269101163999991</v>
      </c>
      <c r="IB60" s="167">
        <v>52.443594742999984</v>
      </c>
      <c r="IC60" s="167">
        <v>42.73939640799999</v>
      </c>
      <c r="ID60" s="167">
        <v>52.187625604999994</v>
      </c>
      <c r="IE60" s="167">
        <v>52.990386037999997</v>
      </c>
      <c r="IF60" s="167">
        <v>48.068290874000006</v>
      </c>
      <c r="IG60" s="167">
        <v>61.459369212000006</v>
      </c>
      <c r="IH60" s="167">
        <v>17.960889546000001</v>
      </c>
      <c r="II60" s="167">
        <v>14.814047390000001</v>
      </c>
      <c r="IJ60" s="167">
        <v>46.996443696</v>
      </c>
      <c r="IK60" s="167">
        <v>65.431476545999999</v>
      </c>
      <c r="IL60" s="167">
        <v>62.052607149000004</v>
      </c>
      <c r="IM60" s="167">
        <v>35.981243816000003</v>
      </c>
      <c r="IN60" s="167">
        <v>74.192838196999986</v>
      </c>
      <c r="IO60" s="167">
        <v>32.002067650000008</v>
      </c>
      <c r="IP60" s="167">
        <v>22.047084529999999</v>
      </c>
      <c r="IQ60" s="167">
        <v>48.677039709999995</v>
      </c>
      <c r="IR60" s="167">
        <v>49.540476529999999</v>
      </c>
      <c r="IS60" s="167">
        <v>349.77085186099998</v>
      </c>
      <c r="IT60" s="162">
        <v>8.6700339570000011</v>
      </c>
      <c r="IU60" s="162">
        <v>25.587230349999999</v>
      </c>
      <c r="IV60" s="162">
        <v>69.157256285000017</v>
      </c>
      <c r="IW60" s="162">
        <v>55.896597330999988</v>
      </c>
      <c r="IX60" s="162">
        <v>129.05403566500001</v>
      </c>
      <c r="IY60" s="162">
        <v>69.665342180999986</v>
      </c>
      <c r="IZ60" s="162">
        <v>117.82658553100001</v>
      </c>
      <c r="JA60" s="162">
        <v>110.63926989300001</v>
      </c>
      <c r="JB60" s="162">
        <v>42.102533298000012</v>
      </c>
      <c r="JC60" s="162">
        <v>78.474091732000005</v>
      </c>
      <c r="JD60" s="162">
        <v>67.929751530000004</v>
      </c>
      <c r="JE60" s="162">
        <v>73.199971740999999</v>
      </c>
      <c r="JF60" s="162">
        <v>40.171860508000002</v>
      </c>
      <c r="JG60" s="162">
        <v>68.375214540000002</v>
      </c>
      <c r="JH60" s="162">
        <v>18.622001135999998</v>
      </c>
      <c r="JI60" s="162">
        <v>36.796776799999996</v>
      </c>
      <c r="JJ60" s="162"/>
      <c r="JK60" s="162"/>
      <c r="JL60" s="162"/>
      <c r="JM60" s="162"/>
      <c r="JN60" s="162"/>
      <c r="JO60" s="162"/>
      <c r="JP60" s="162"/>
      <c r="JQ60" s="162"/>
    </row>
    <row r="61" spans="1:277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4">
        <v>4</v>
      </c>
      <c r="HK61" s="164">
        <v>4.2638749999999996</v>
      </c>
      <c r="HL61" s="164">
        <v>3.1</v>
      </c>
      <c r="HM61" s="164">
        <v>45.256456806000003</v>
      </c>
      <c r="HN61" s="164">
        <v>6.4</v>
      </c>
      <c r="HO61" s="164">
        <v>5.5</v>
      </c>
      <c r="HP61" s="164">
        <v>2</v>
      </c>
      <c r="HQ61" s="164">
        <v>6</v>
      </c>
      <c r="HR61" s="164">
        <v>5.9998313200000002</v>
      </c>
      <c r="HS61" s="164">
        <v>-1.0451150000000001E-3</v>
      </c>
      <c r="HT61" s="164">
        <v>9.999915660000001</v>
      </c>
      <c r="HU61" s="164">
        <v>11.01553292</v>
      </c>
      <c r="HV61" s="164">
        <v>6.627737647</v>
      </c>
      <c r="HW61" s="164">
        <v>1.3662738990000001</v>
      </c>
      <c r="HX61" s="164">
        <v>1.5</v>
      </c>
      <c r="HY61" s="164">
        <v>12</v>
      </c>
      <c r="HZ61" s="164">
        <v>10.5124616</v>
      </c>
      <c r="IA61" s="164">
        <v>6.5184609560000002</v>
      </c>
      <c r="IB61" s="164">
        <v>7.0026400210000004</v>
      </c>
      <c r="IC61" s="164">
        <v>1.5</v>
      </c>
      <c r="ID61" s="164">
        <v>7.6248199999999997</v>
      </c>
      <c r="IE61" s="164">
        <v>6.5</v>
      </c>
      <c r="IF61" s="164">
        <v>7.5</v>
      </c>
      <c r="IG61" s="164">
        <v>18.714478293999999</v>
      </c>
      <c r="IH61" s="164">
        <v>6.627737647</v>
      </c>
      <c r="II61" s="164">
        <v>1.5</v>
      </c>
      <c r="IJ61" s="164">
        <v>9.5039999999999996</v>
      </c>
      <c r="IK61" s="164">
        <v>28.292877187999999</v>
      </c>
      <c r="IL61" s="164">
        <v>1.499930446</v>
      </c>
      <c r="IM61" s="164">
        <v>6.8419799999999995</v>
      </c>
      <c r="IN61" s="164">
        <v>16.119040000000002</v>
      </c>
      <c r="IO61" s="164">
        <v>6.4192825030000007</v>
      </c>
      <c r="IP61" s="164">
        <v>2.6</v>
      </c>
      <c r="IQ61" s="164">
        <v>7.218267784</v>
      </c>
      <c r="IR61" s="164">
        <v>2.3199999999999998</v>
      </c>
      <c r="IS61" s="164">
        <v>15.972545002</v>
      </c>
      <c r="IT61" s="159">
        <v>2.9506307270000001</v>
      </c>
      <c r="IU61" s="159">
        <v>1.731943</v>
      </c>
      <c r="IV61" s="159">
        <v>4.1247049999999996</v>
      </c>
      <c r="IW61" s="159">
        <v>16.357658205</v>
      </c>
      <c r="IX61" s="159">
        <v>20.842849130999998</v>
      </c>
      <c r="IY61" s="159">
        <v>31.968753273999997</v>
      </c>
      <c r="IZ61" s="159">
        <v>36.931859482</v>
      </c>
      <c r="JA61" s="159">
        <v>8.6597728509999996</v>
      </c>
      <c r="JB61" s="159">
        <v>2.842391852</v>
      </c>
      <c r="JC61" s="159">
        <v>39.455628385999994</v>
      </c>
      <c r="JD61" s="159">
        <v>11.301531796999999</v>
      </c>
      <c r="JE61" s="159">
        <v>6.3771793140000002</v>
      </c>
      <c r="JF61" s="159">
        <v>21.401948098000002</v>
      </c>
      <c r="JG61" s="159">
        <v>43.055683438999999</v>
      </c>
      <c r="JH61" s="159">
        <v>3</v>
      </c>
      <c r="JI61" s="159">
        <v>5.1535831609999994</v>
      </c>
      <c r="JJ61" s="159"/>
      <c r="JK61" s="159"/>
      <c r="JL61" s="159"/>
      <c r="JM61" s="159"/>
      <c r="JN61" s="159"/>
      <c r="JO61" s="159"/>
      <c r="JP61" s="159"/>
      <c r="JQ61" s="159"/>
    </row>
    <row r="62" spans="1:277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4">
        <v>0.69842334899999969</v>
      </c>
      <c r="HK62" s="164">
        <v>2.0229943599999998</v>
      </c>
      <c r="HL62" s="164">
        <v>8.1000107919999991</v>
      </c>
      <c r="HM62" s="164">
        <v>15.069289813999999</v>
      </c>
      <c r="HN62" s="164">
        <v>10.336424435000001</v>
      </c>
      <c r="HO62" s="164">
        <v>12.143719151000001</v>
      </c>
      <c r="HP62" s="164">
        <v>10.738969989999999</v>
      </c>
      <c r="HQ62" s="164">
        <v>27.511474710000002</v>
      </c>
      <c r="HR62" s="164">
        <v>16.802559879</v>
      </c>
      <c r="HS62" s="164">
        <v>28.536849829999998</v>
      </c>
      <c r="HT62" s="164">
        <v>23.204370296999997</v>
      </c>
      <c r="HU62" s="164">
        <v>36.791467458000007</v>
      </c>
      <c r="HV62" s="164">
        <v>4.0202161239999992</v>
      </c>
      <c r="HW62" s="164">
        <v>6.1566027989999998</v>
      </c>
      <c r="HX62" s="164">
        <v>12.794604133</v>
      </c>
      <c r="HY62" s="164">
        <v>9.5997889560000011</v>
      </c>
      <c r="HZ62" s="164">
        <v>11.612579852</v>
      </c>
      <c r="IA62" s="164">
        <v>27.384644579</v>
      </c>
      <c r="IB62" s="164">
        <v>25.878564189000002</v>
      </c>
      <c r="IC62" s="164">
        <v>29.054169043000002</v>
      </c>
      <c r="ID62" s="164">
        <v>30.744650118000003</v>
      </c>
      <c r="IE62" s="164">
        <v>35.589152184</v>
      </c>
      <c r="IF62" s="164">
        <v>20.903136431000004</v>
      </c>
      <c r="IG62" s="164">
        <v>28.433656696000007</v>
      </c>
      <c r="IH62" s="164">
        <v>4.6095970140000002</v>
      </c>
      <c r="II62" s="164">
        <v>4.7976671450000001</v>
      </c>
      <c r="IJ62" s="164">
        <v>12.655019925000001</v>
      </c>
      <c r="IK62" s="164">
        <v>25.299137942999998</v>
      </c>
      <c r="IL62" s="164">
        <v>29.598558240000003</v>
      </c>
      <c r="IM62" s="164">
        <v>14.267149925999998</v>
      </c>
      <c r="IN62" s="164">
        <v>32.398725514999995</v>
      </c>
      <c r="IO62" s="164">
        <v>16.398954414999999</v>
      </c>
      <c r="IP62" s="164">
        <v>8.0399105720000001</v>
      </c>
      <c r="IQ62" s="164">
        <v>20.515353934000004</v>
      </c>
      <c r="IR62" s="164">
        <v>23.750217762000002</v>
      </c>
      <c r="IS62" s="164">
        <v>26.761446427000003</v>
      </c>
      <c r="IT62" s="159">
        <v>1.3361637780000002</v>
      </c>
      <c r="IU62" s="159">
        <v>11.188073524</v>
      </c>
      <c r="IV62" s="159">
        <v>11.616618176000001</v>
      </c>
      <c r="IW62" s="159">
        <v>16.843373342</v>
      </c>
      <c r="IX62" s="159">
        <v>31.992113463999999</v>
      </c>
      <c r="IY62" s="159">
        <v>11.433426416999998</v>
      </c>
      <c r="IZ62" s="159">
        <v>29.400120528999999</v>
      </c>
      <c r="JA62" s="159">
        <v>33.653365161000004</v>
      </c>
      <c r="JB62" s="159">
        <v>20.083155403999999</v>
      </c>
      <c r="JC62" s="159">
        <v>19.449719883</v>
      </c>
      <c r="JD62" s="159">
        <v>37.768657339000001</v>
      </c>
      <c r="JE62" s="159">
        <v>24.432772022999998</v>
      </c>
      <c r="JF62" s="159">
        <v>1.2632620030000001</v>
      </c>
      <c r="JG62" s="159">
        <v>12.059348936000001</v>
      </c>
      <c r="JH62" s="159">
        <v>5.8447214269999996</v>
      </c>
      <c r="JI62" s="159">
        <v>10.566600957</v>
      </c>
      <c r="JJ62" s="159"/>
      <c r="JK62" s="159"/>
      <c r="JL62" s="159"/>
      <c r="JM62" s="159"/>
      <c r="JN62" s="159"/>
      <c r="JO62" s="159"/>
      <c r="JP62" s="159"/>
      <c r="JQ62" s="159"/>
    </row>
    <row r="63" spans="1:277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4">
        <v>0</v>
      </c>
      <c r="HK63" s="164">
        <v>0.21630703000000001</v>
      </c>
      <c r="HL63" s="164">
        <v>3.2644365579999999</v>
      </c>
      <c r="HM63" s="164">
        <v>1.0902978999999988E-2</v>
      </c>
      <c r="HN63" s="164">
        <v>2.3515376800000012</v>
      </c>
      <c r="HO63" s="164">
        <v>0.28710568199999992</v>
      </c>
      <c r="HP63" s="164">
        <v>0.21158413400000017</v>
      </c>
      <c r="HQ63" s="164">
        <v>6.0131807450000005</v>
      </c>
      <c r="HR63" s="164">
        <v>7.4522594000000025E-2</v>
      </c>
      <c r="HS63" s="164">
        <v>12.816336096999999</v>
      </c>
      <c r="HT63" s="164">
        <v>0.47895432200000049</v>
      </c>
      <c r="HU63" s="164">
        <v>3.3292275900000003</v>
      </c>
      <c r="HV63" s="164">
        <v>0.21557721599999999</v>
      </c>
      <c r="HW63" s="164">
        <v>3.9306751580000001</v>
      </c>
      <c r="HX63" s="164">
        <v>2.0990644699999992</v>
      </c>
      <c r="HY63" s="164">
        <v>3.9295738720000002</v>
      </c>
      <c r="HZ63" s="164">
        <v>0.34395837600000051</v>
      </c>
      <c r="IA63" s="164">
        <v>0</v>
      </c>
      <c r="IB63" s="164">
        <v>0.16561581300000033</v>
      </c>
      <c r="IC63" s="164">
        <v>5.4251490999999985E-2</v>
      </c>
      <c r="ID63" s="164">
        <v>6.1869188470000003</v>
      </c>
      <c r="IE63" s="164">
        <v>4.1240110879999996</v>
      </c>
      <c r="IF63" s="164">
        <v>2.2832281679999995</v>
      </c>
      <c r="IG63" s="164">
        <v>0.60891933200000126</v>
      </c>
      <c r="IH63" s="164">
        <v>2.010738221</v>
      </c>
      <c r="II63" s="164">
        <v>0.88449999999999995</v>
      </c>
      <c r="IJ63" s="164">
        <v>0.62982123499999998</v>
      </c>
      <c r="IK63" s="164">
        <v>1.4964637730000003</v>
      </c>
      <c r="IL63" s="164">
        <v>6.9897078429999997</v>
      </c>
      <c r="IM63" s="164">
        <v>3.5798026539999999</v>
      </c>
      <c r="IN63" s="164">
        <v>1.8829649800000006</v>
      </c>
      <c r="IO63" s="164">
        <v>0.32346610499999995</v>
      </c>
      <c r="IP63" s="164">
        <v>0.58358900399999991</v>
      </c>
      <c r="IQ63" s="164">
        <v>6.7106545000000004E-2</v>
      </c>
      <c r="IR63" s="164">
        <v>3.3665896000000431E-2</v>
      </c>
      <c r="IS63" s="164">
        <v>3.6944807099999997</v>
      </c>
      <c r="IT63" s="159">
        <v>0.10048207100000001</v>
      </c>
      <c r="IU63" s="159">
        <v>3.3000000000000003E-5</v>
      </c>
      <c r="IV63" s="159">
        <v>1.8778349999999997</v>
      </c>
      <c r="IW63" s="159">
        <v>9.8186403000000005E-2</v>
      </c>
      <c r="IX63" s="159">
        <v>2.8170425000000012</v>
      </c>
      <c r="IY63" s="159">
        <v>0.05</v>
      </c>
      <c r="IZ63" s="159">
        <v>3.0372508649999999</v>
      </c>
      <c r="JA63" s="159">
        <v>0.42238947999999998</v>
      </c>
      <c r="JB63" s="159">
        <v>1.912616622</v>
      </c>
      <c r="JC63" s="159">
        <v>0.12609000000000015</v>
      </c>
      <c r="JD63" s="159">
        <v>2.847007724</v>
      </c>
      <c r="JE63" s="159">
        <v>7.2365264830000013</v>
      </c>
      <c r="JF63" s="159">
        <v>0</v>
      </c>
      <c r="JG63" s="159">
        <v>2</v>
      </c>
      <c r="JH63" s="159">
        <v>7.8671687000000004E-2</v>
      </c>
      <c r="JI63" s="159">
        <v>5.0128341439999993</v>
      </c>
      <c r="JJ63" s="159"/>
      <c r="JK63" s="159"/>
      <c r="JL63" s="159"/>
      <c r="JM63" s="159"/>
      <c r="JN63" s="159"/>
      <c r="JO63" s="159"/>
      <c r="JP63" s="159"/>
      <c r="JQ63" s="159"/>
    </row>
    <row r="64" spans="1:277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4">
        <v>0.37367410600000001</v>
      </c>
      <c r="HK64" s="164">
        <v>1.8463226159999999</v>
      </c>
      <c r="HL64" s="164">
        <v>5.6023705360000005</v>
      </c>
      <c r="HM64" s="164">
        <v>8.6162173179999986</v>
      </c>
      <c r="HN64" s="164">
        <v>9.194069059000002</v>
      </c>
      <c r="HO64" s="164">
        <v>3.1042675260000001</v>
      </c>
      <c r="HP64" s="164">
        <v>5.7104238230000002</v>
      </c>
      <c r="HQ64" s="164">
        <v>4.8617635730000002</v>
      </c>
      <c r="HR64" s="164">
        <v>5.0369199920000005</v>
      </c>
      <c r="HS64" s="164">
        <v>3.2132262929999995</v>
      </c>
      <c r="HT64" s="164">
        <v>3.0366461169999996</v>
      </c>
      <c r="HU64" s="164">
        <v>8.2351588299999996</v>
      </c>
      <c r="HV64" s="164">
        <v>2.8549330989999997</v>
      </c>
      <c r="HW64" s="164">
        <v>1.3138143410000001</v>
      </c>
      <c r="HX64" s="164">
        <v>2.7481603369999994</v>
      </c>
      <c r="HY64" s="164">
        <v>4.7393387339999995</v>
      </c>
      <c r="HZ64" s="164">
        <v>7.6528176300000004</v>
      </c>
      <c r="IA64" s="164">
        <v>12.800235666000001</v>
      </c>
      <c r="IB64" s="164">
        <v>16.686014757000002</v>
      </c>
      <c r="IC64" s="164">
        <v>9.6552159109999991</v>
      </c>
      <c r="ID64" s="164">
        <v>5.0854766770000008</v>
      </c>
      <c r="IE64" s="164">
        <v>4.3414628030000006</v>
      </c>
      <c r="IF64" s="164">
        <v>15.171207175999999</v>
      </c>
      <c r="IG64" s="164">
        <v>10.802908691999999</v>
      </c>
      <c r="IH64" s="164">
        <v>0.325883331</v>
      </c>
      <c r="II64" s="164">
        <v>4.5575469119999994</v>
      </c>
      <c r="IJ64" s="164">
        <v>21.108269202999999</v>
      </c>
      <c r="IK64" s="164">
        <v>7.6636643089999996</v>
      </c>
      <c r="IL64" s="164">
        <v>21.177577286999998</v>
      </c>
      <c r="IM64" s="164">
        <v>8.652977903</v>
      </c>
      <c r="IN64" s="164">
        <v>21.201774368999999</v>
      </c>
      <c r="IO64" s="164">
        <v>6.2706182540000004</v>
      </c>
      <c r="IP64" s="164">
        <v>8.152824991000001</v>
      </c>
      <c r="IQ64" s="164">
        <v>18.585551484</v>
      </c>
      <c r="IR64" s="164">
        <v>21.254873773</v>
      </c>
      <c r="IS64" s="164">
        <v>301.42997352399999</v>
      </c>
      <c r="IT64" s="159">
        <v>0.45256469399999999</v>
      </c>
      <c r="IU64" s="159">
        <v>10.021988139000001</v>
      </c>
      <c r="IV64" s="159">
        <v>48.301905422000004</v>
      </c>
      <c r="IW64" s="159">
        <v>19.356186792999996</v>
      </c>
      <c r="IX64" s="159">
        <v>70.02083778299999</v>
      </c>
      <c r="IY64" s="159">
        <v>23.189010666999998</v>
      </c>
      <c r="IZ64" s="159">
        <v>45.361161967999998</v>
      </c>
      <c r="JA64" s="159">
        <v>63.852549713999998</v>
      </c>
      <c r="JB64" s="159">
        <v>14.708176733</v>
      </c>
      <c r="JC64" s="159">
        <v>16.926460775999999</v>
      </c>
      <c r="JD64" s="159">
        <v>13.491361981000001</v>
      </c>
      <c r="JE64" s="159">
        <v>33.803347690000003</v>
      </c>
      <c r="JF64" s="159">
        <v>13.431571811</v>
      </c>
      <c r="JG64" s="159">
        <v>8.1301821650000008</v>
      </c>
      <c r="JH64" s="159">
        <v>6.5776080220000006</v>
      </c>
      <c r="JI64" s="159">
        <v>14.129054625999999</v>
      </c>
      <c r="JJ64" s="159"/>
      <c r="JK64" s="159"/>
      <c r="JL64" s="159"/>
      <c r="JM64" s="159"/>
      <c r="JN64" s="159"/>
      <c r="JO64" s="159"/>
      <c r="JP64" s="159"/>
      <c r="JQ64" s="159"/>
    </row>
    <row r="65" spans="1:277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4">
        <v>3.3782199629999998</v>
      </c>
      <c r="HK65" s="164">
        <v>2.6739199629999999</v>
      </c>
      <c r="HL65" s="164">
        <v>2.930919963</v>
      </c>
      <c r="HM65" s="164">
        <v>2.7224199629999997</v>
      </c>
      <c r="HN65" s="164">
        <v>2.6124199629999998</v>
      </c>
      <c r="HO65" s="164">
        <v>2.5024199629999999</v>
      </c>
      <c r="HP65" s="164">
        <v>2.4474199629999998</v>
      </c>
      <c r="HQ65" s="164">
        <v>2.4524199629999996</v>
      </c>
      <c r="HR65" s="164">
        <v>2.4852209630000002</v>
      </c>
      <c r="HS65" s="164">
        <v>2.437419963</v>
      </c>
      <c r="HT65" s="164">
        <v>2.199759963</v>
      </c>
      <c r="HU65" s="164">
        <v>1.8989061999999999</v>
      </c>
      <c r="HV65" s="164">
        <v>3.6973599629999998</v>
      </c>
      <c r="HW65" s="164">
        <v>2.9142599630000001</v>
      </c>
      <c r="HX65" s="164">
        <v>3.050759963</v>
      </c>
      <c r="HY65" s="164">
        <v>2.5622599629999998</v>
      </c>
      <c r="HZ65" s="164">
        <v>2.7692599630000001</v>
      </c>
      <c r="IA65" s="164">
        <v>2.5657599630000001</v>
      </c>
      <c r="IB65" s="164">
        <v>2.7107599630000001</v>
      </c>
      <c r="IC65" s="164">
        <v>2.4757599629999998</v>
      </c>
      <c r="ID65" s="164">
        <v>2.5457599630000001</v>
      </c>
      <c r="IE65" s="164">
        <v>2.4357599629999998</v>
      </c>
      <c r="IF65" s="164">
        <v>2.2107190989999999</v>
      </c>
      <c r="IG65" s="164">
        <v>2.8994061980000003</v>
      </c>
      <c r="IH65" s="164">
        <v>4.386933333</v>
      </c>
      <c r="II65" s="164">
        <v>3.0743333330000002</v>
      </c>
      <c r="IJ65" s="164">
        <v>3.0993333330000001</v>
      </c>
      <c r="IK65" s="164">
        <v>2.6793333330000002</v>
      </c>
      <c r="IL65" s="164">
        <v>2.7868333330000001</v>
      </c>
      <c r="IM65" s="164">
        <v>2.6393333330000002</v>
      </c>
      <c r="IN65" s="164">
        <v>2.5903333330000002</v>
      </c>
      <c r="IO65" s="164">
        <v>2.5897463730000001</v>
      </c>
      <c r="IP65" s="164">
        <v>2.6707599630000001</v>
      </c>
      <c r="IQ65" s="164">
        <v>2.2907599630000002</v>
      </c>
      <c r="IR65" s="164">
        <v>2.1817190989999999</v>
      </c>
      <c r="IS65" s="164">
        <v>1.912406198</v>
      </c>
      <c r="IT65" s="159">
        <v>3.8301926870000003</v>
      </c>
      <c r="IU65" s="159">
        <v>2.6451926870000002</v>
      </c>
      <c r="IV65" s="159">
        <v>3.2361926870000004</v>
      </c>
      <c r="IW65" s="159">
        <v>3.2411925880000001</v>
      </c>
      <c r="IX65" s="159">
        <v>3.3811927869999998</v>
      </c>
      <c r="IY65" s="159">
        <v>3.024151823</v>
      </c>
      <c r="IZ65" s="159">
        <v>3.0961926870000003</v>
      </c>
      <c r="JA65" s="159">
        <v>4.0511926870000003</v>
      </c>
      <c r="JB65" s="159">
        <v>2.5561926870000002</v>
      </c>
      <c r="JC65" s="159">
        <v>2.5161926870000002</v>
      </c>
      <c r="JD65" s="159">
        <v>2.5211926889999998</v>
      </c>
      <c r="JE65" s="159">
        <v>1.3501462309999999</v>
      </c>
      <c r="JF65" s="159">
        <v>4.075078596</v>
      </c>
      <c r="JG65" s="159">
        <v>3.13</v>
      </c>
      <c r="JH65" s="159">
        <v>3.121</v>
      </c>
      <c r="JI65" s="159">
        <v>1.934703912</v>
      </c>
      <c r="JJ65" s="159"/>
      <c r="JK65" s="159"/>
      <c r="JL65" s="159"/>
      <c r="JM65" s="159"/>
      <c r="JN65" s="159"/>
      <c r="JO65" s="159"/>
      <c r="JP65" s="159"/>
      <c r="JQ65" s="159"/>
    </row>
    <row r="66" spans="1:277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4">
        <v>0.27291959300000002</v>
      </c>
      <c r="HK66" s="164">
        <v>25.898858449999999</v>
      </c>
      <c r="HL66" s="164">
        <v>243.32799751900001</v>
      </c>
      <c r="HM66" s="164">
        <v>41.145424731000006</v>
      </c>
      <c r="HN66" s="164">
        <v>42.289897074999999</v>
      </c>
      <c r="HO66" s="164">
        <v>31.161473807000004</v>
      </c>
      <c r="HP66" s="164">
        <v>277.55703398600002</v>
      </c>
      <c r="HQ66" s="164">
        <v>94.227623324000021</v>
      </c>
      <c r="HR66" s="164">
        <v>86.266356905000009</v>
      </c>
      <c r="HS66" s="164">
        <v>39.133362240999993</v>
      </c>
      <c r="HT66" s="164">
        <v>113.03705746599999</v>
      </c>
      <c r="HU66" s="164">
        <v>159.784836523</v>
      </c>
      <c r="HV66" s="164">
        <v>0</v>
      </c>
      <c r="HW66" s="164">
        <v>62.556478902000009</v>
      </c>
      <c r="HX66" s="164">
        <v>304.57103292700003</v>
      </c>
      <c r="HY66" s="164">
        <v>69.636870342000009</v>
      </c>
      <c r="HZ66" s="164">
        <v>66.100421888</v>
      </c>
      <c r="IA66" s="164">
        <v>63.781035868000004</v>
      </c>
      <c r="IB66" s="164">
        <v>306.17511106200004</v>
      </c>
      <c r="IC66" s="164">
        <v>56.483348630999998</v>
      </c>
      <c r="ID66" s="164">
        <v>35.617158116000006</v>
      </c>
      <c r="IE66" s="164">
        <v>72.672556830999994</v>
      </c>
      <c r="IF66" s="164">
        <v>108.93505503700001</v>
      </c>
      <c r="IG66" s="164">
        <v>119.34626064899999</v>
      </c>
      <c r="IH66" s="164">
        <v>30.741253902</v>
      </c>
      <c r="II66" s="164">
        <v>51.064245620000001</v>
      </c>
      <c r="IJ66" s="164">
        <v>242.042341467</v>
      </c>
      <c r="IK66" s="164">
        <v>38.558706221000001</v>
      </c>
      <c r="IL66" s="164">
        <v>86.032046842</v>
      </c>
      <c r="IM66" s="164">
        <v>65.069199428000005</v>
      </c>
      <c r="IN66" s="164">
        <v>218.43907836400001</v>
      </c>
      <c r="IO66" s="164">
        <v>48.195722105999998</v>
      </c>
      <c r="IP66" s="164">
        <v>83.388855620000001</v>
      </c>
      <c r="IQ66" s="164">
        <v>124.97616209700001</v>
      </c>
      <c r="IR66" s="164">
        <v>109.05961043199999</v>
      </c>
      <c r="IS66" s="164">
        <v>403.62568177000003</v>
      </c>
      <c r="IT66" s="159">
        <v>0.49057354600000008</v>
      </c>
      <c r="IU66" s="159">
        <v>95.204243633000004</v>
      </c>
      <c r="IV66" s="159">
        <v>91.222464000000002</v>
      </c>
      <c r="IW66" s="159">
        <v>107.82714723800001</v>
      </c>
      <c r="IX66" s="159">
        <v>141.027193332</v>
      </c>
      <c r="IY66" s="159">
        <v>122.67119844499999</v>
      </c>
      <c r="IZ66" s="159">
        <v>62.457135361000006</v>
      </c>
      <c r="JA66" s="159">
        <v>75.394766579999995</v>
      </c>
      <c r="JB66" s="159">
        <v>101.85060639699999</v>
      </c>
      <c r="JC66" s="159">
        <v>138.31677704000001</v>
      </c>
      <c r="JD66" s="159">
        <v>325.77161223299998</v>
      </c>
      <c r="JE66" s="159">
        <v>82.321294886999993</v>
      </c>
      <c r="JF66" s="159">
        <v>35.547135930000003</v>
      </c>
      <c r="JG66" s="159">
        <v>33.126630982999998</v>
      </c>
      <c r="JH66" s="159">
        <v>199.57562939399998</v>
      </c>
      <c r="JI66" s="159">
        <v>22.033814748000001</v>
      </c>
      <c r="JJ66" s="159"/>
      <c r="JK66" s="159"/>
      <c r="JL66" s="159"/>
      <c r="JM66" s="159"/>
      <c r="JN66" s="159"/>
      <c r="JO66" s="159"/>
      <c r="JP66" s="159"/>
      <c r="JQ66" s="159"/>
    </row>
    <row r="67" spans="1:277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4">
        <v>0.27291959300000002</v>
      </c>
      <c r="HK67" s="164">
        <v>25.898858449999999</v>
      </c>
      <c r="HL67" s="164">
        <v>13.327997526999999</v>
      </c>
      <c r="HM67" s="164">
        <v>41.145424731000006</v>
      </c>
      <c r="HN67" s="164">
        <v>42.289897074999999</v>
      </c>
      <c r="HO67" s="164">
        <v>31.161473807000004</v>
      </c>
      <c r="HP67" s="164">
        <v>53.216877894999996</v>
      </c>
      <c r="HQ67" s="164">
        <v>94.227623324000021</v>
      </c>
      <c r="HR67" s="164">
        <v>59.688302193000006</v>
      </c>
      <c r="HS67" s="164">
        <v>39.133362240999993</v>
      </c>
      <c r="HT67" s="164">
        <v>113.03705746599999</v>
      </c>
      <c r="HU67" s="164">
        <v>159.784836523</v>
      </c>
      <c r="HV67" s="164">
        <v>0</v>
      </c>
      <c r="HW67" s="164">
        <v>62.556478902000009</v>
      </c>
      <c r="HX67" s="164">
        <v>64.483648744999996</v>
      </c>
      <c r="HY67" s="164">
        <v>69.636870342000009</v>
      </c>
      <c r="HZ67" s="164">
        <v>66.100421888</v>
      </c>
      <c r="IA67" s="164">
        <v>63.781035868000004</v>
      </c>
      <c r="IB67" s="164">
        <v>66.08772685000001</v>
      </c>
      <c r="IC67" s="164">
        <v>56.483348630999998</v>
      </c>
      <c r="ID67" s="164">
        <v>35.617158116000006</v>
      </c>
      <c r="IE67" s="164">
        <v>72.672556830999994</v>
      </c>
      <c r="IF67" s="164">
        <v>108.93505503700001</v>
      </c>
      <c r="IG67" s="164">
        <v>104.84626066199999</v>
      </c>
      <c r="IH67" s="164">
        <v>30.741253902</v>
      </c>
      <c r="II67" s="164">
        <v>51.064245620000001</v>
      </c>
      <c r="IJ67" s="164">
        <v>64.504475353999993</v>
      </c>
      <c r="IK67" s="164">
        <v>38.558706221000001</v>
      </c>
      <c r="IL67" s="164">
        <v>86.032046842</v>
      </c>
      <c r="IM67" s="164">
        <v>65.069199428000005</v>
      </c>
      <c r="IN67" s="164">
        <v>40.901212222000005</v>
      </c>
      <c r="IO67" s="164">
        <v>48.195722105999998</v>
      </c>
      <c r="IP67" s="164">
        <v>83.388855620000001</v>
      </c>
      <c r="IQ67" s="164">
        <v>124.97616209700001</v>
      </c>
      <c r="IR67" s="164">
        <v>109.05961043199999</v>
      </c>
      <c r="IS67" s="164">
        <v>226.08781564899999</v>
      </c>
      <c r="IT67" s="159">
        <v>0.49057354600000008</v>
      </c>
      <c r="IU67" s="159">
        <v>95.204243633000004</v>
      </c>
      <c r="IV67" s="159">
        <v>91.222464000000002</v>
      </c>
      <c r="IW67" s="159">
        <v>107.82714723800001</v>
      </c>
      <c r="IX67" s="159">
        <v>141.027193332</v>
      </c>
      <c r="IY67" s="159">
        <v>122.67119844499999</v>
      </c>
      <c r="IZ67" s="159">
        <v>62.457135361000006</v>
      </c>
      <c r="JA67" s="159">
        <v>75.394766579999995</v>
      </c>
      <c r="JB67" s="159">
        <v>101.85060639699999</v>
      </c>
      <c r="JC67" s="159">
        <v>138.31677704000001</v>
      </c>
      <c r="JD67" s="159">
        <v>140.458101046</v>
      </c>
      <c r="JE67" s="159">
        <v>82.321294886999993</v>
      </c>
      <c r="JF67" s="159">
        <v>35.547135930000003</v>
      </c>
      <c r="JG67" s="159">
        <v>33.126630982999998</v>
      </c>
      <c r="JH67" s="159">
        <v>199.57562939399998</v>
      </c>
      <c r="JI67" s="159">
        <v>22.033814748000001</v>
      </c>
      <c r="JJ67" s="159"/>
      <c r="JK67" s="159"/>
      <c r="JL67" s="159"/>
      <c r="JM67" s="159"/>
      <c r="JN67" s="159"/>
      <c r="JO67" s="159"/>
      <c r="JP67" s="159"/>
      <c r="JQ67" s="159"/>
    </row>
    <row r="68" spans="1:277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4">
        <v>0</v>
      </c>
      <c r="HK68" s="164">
        <v>0</v>
      </c>
      <c r="HL68" s="164">
        <v>0</v>
      </c>
      <c r="HM68" s="164">
        <v>0</v>
      </c>
      <c r="HN68" s="164">
        <v>0</v>
      </c>
      <c r="HO68" s="164">
        <v>0</v>
      </c>
      <c r="HP68" s="164">
        <v>0</v>
      </c>
      <c r="HQ68" s="164">
        <v>0</v>
      </c>
      <c r="HR68" s="164">
        <v>0</v>
      </c>
      <c r="HS68" s="164">
        <v>0</v>
      </c>
      <c r="HT68" s="164">
        <v>0</v>
      </c>
      <c r="HU68" s="164">
        <v>0</v>
      </c>
      <c r="HV68" s="164">
        <v>0</v>
      </c>
      <c r="HW68" s="164">
        <v>0</v>
      </c>
      <c r="HX68" s="164">
        <v>0</v>
      </c>
      <c r="HY68" s="164">
        <v>0</v>
      </c>
      <c r="HZ68" s="164">
        <v>0</v>
      </c>
      <c r="IA68" s="164">
        <v>0</v>
      </c>
      <c r="IB68" s="164">
        <v>0</v>
      </c>
      <c r="IC68" s="164">
        <v>0</v>
      </c>
      <c r="ID68" s="164">
        <v>0</v>
      </c>
      <c r="IE68" s="164">
        <v>0</v>
      </c>
      <c r="IF68" s="164">
        <v>0</v>
      </c>
      <c r="IG68" s="164">
        <v>0</v>
      </c>
      <c r="IH68" s="164">
        <v>0</v>
      </c>
      <c r="II68" s="164">
        <v>0</v>
      </c>
      <c r="IJ68" s="164">
        <v>0</v>
      </c>
      <c r="IK68" s="164">
        <v>0</v>
      </c>
      <c r="IL68" s="164">
        <v>0</v>
      </c>
      <c r="IM68" s="164">
        <v>0</v>
      </c>
      <c r="IN68" s="164">
        <v>0</v>
      </c>
      <c r="IO68" s="164">
        <v>0</v>
      </c>
      <c r="IP68" s="164">
        <v>0</v>
      </c>
      <c r="IQ68" s="164">
        <v>0</v>
      </c>
      <c r="IR68" s="164">
        <v>0</v>
      </c>
      <c r="IS68" s="164">
        <v>0</v>
      </c>
      <c r="IT68" s="159">
        <v>0</v>
      </c>
      <c r="IU68" s="159">
        <v>0</v>
      </c>
      <c r="IV68" s="159">
        <v>0</v>
      </c>
      <c r="IW68" s="159">
        <v>0</v>
      </c>
      <c r="IX68" s="159">
        <v>0</v>
      </c>
      <c r="IY68" s="159">
        <v>0</v>
      </c>
      <c r="IZ68" s="159">
        <v>0</v>
      </c>
      <c r="JA68" s="159">
        <v>0</v>
      </c>
      <c r="JB68" s="159">
        <v>0</v>
      </c>
      <c r="JC68" s="159">
        <v>0</v>
      </c>
      <c r="JD68" s="159">
        <v>0</v>
      </c>
      <c r="JE68" s="159">
        <v>0</v>
      </c>
      <c r="JF68" s="159">
        <v>0</v>
      </c>
      <c r="JG68" s="159">
        <v>0</v>
      </c>
      <c r="JH68" s="159">
        <v>0</v>
      </c>
      <c r="JI68" s="159">
        <v>0</v>
      </c>
      <c r="JJ68" s="159"/>
      <c r="JK68" s="159"/>
      <c r="JL68" s="159"/>
      <c r="JM68" s="159"/>
      <c r="JN68" s="159"/>
      <c r="JO68" s="159"/>
      <c r="JP68" s="159"/>
      <c r="JQ68" s="159"/>
    </row>
    <row r="69" spans="1:277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4">
        <v>0</v>
      </c>
      <c r="HK69" s="164">
        <v>0</v>
      </c>
      <c r="HL69" s="164">
        <v>229.999999992</v>
      </c>
      <c r="HM69" s="164">
        <v>0</v>
      </c>
      <c r="HN69" s="164">
        <v>0</v>
      </c>
      <c r="HO69" s="164">
        <v>0</v>
      </c>
      <c r="HP69" s="164">
        <v>224.34015609100001</v>
      </c>
      <c r="HQ69" s="164">
        <v>0</v>
      </c>
      <c r="HR69" s="164">
        <v>26.578054712</v>
      </c>
      <c r="HS69" s="164">
        <v>0</v>
      </c>
      <c r="HT69" s="164">
        <v>0</v>
      </c>
      <c r="HU69" s="164">
        <v>0</v>
      </c>
      <c r="HV69" s="164">
        <v>0</v>
      </c>
      <c r="HW69" s="164">
        <v>0</v>
      </c>
      <c r="HX69" s="164">
        <v>240.08738418200002</v>
      </c>
      <c r="HY69" s="164">
        <v>0</v>
      </c>
      <c r="HZ69" s="164">
        <v>0</v>
      </c>
      <c r="IA69" s="164">
        <v>0</v>
      </c>
      <c r="IB69" s="164">
        <v>240.08738421200002</v>
      </c>
      <c r="IC69" s="164">
        <v>0</v>
      </c>
      <c r="ID69" s="164">
        <v>0</v>
      </c>
      <c r="IE69" s="164">
        <v>0</v>
      </c>
      <c r="IF69" s="164">
        <v>0</v>
      </c>
      <c r="IG69" s="164">
        <v>14.499999986999999</v>
      </c>
      <c r="IH69" s="164">
        <v>0</v>
      </c>
      <c r="II69" s="164">
        <v>0</v>
      </c>
      <c r="IJ69" s="164">
        <v>177.53786611300001</v>
      </c>
      <c r="IK69" s="164">
        <v>0</v>
      </c>
      <c r="IL69" s="164">
        <v>0</v>
      </c>
      <c r="IM69" s="164">
        <v>0</v>
      </c>
      <c r="IN69" s="164">
        <v>177.53786614200001</v>
      </c>
      <c r="IO69" s="164">
        <v>0</v>
      </c>
      <c r="IP69" s="164">
        <v>0</v>
      </c>
      <c r="IQ69" s="164">
        <v>0</v>
      </c>
      <c r="IR69" s="164">
        <v>0</v>
      </c>
      <c r="IS69" s="164">
        <v>177.53786612100001</v>
      </c>
      <c r="IT69" s="159">
        <v>0</v>
      </c>
      <c r="IU69" s="159">
        <v>0</v>
      </c>
      <c r="IV69" s="159">
        <v>0</v>
      </c>
      <c r="IW69" s="159">
        <v>0</v>
      </c>
      <c r="IX69" s="159">
        <v>0</v>
      </c>
      <c r="IY69" s="159">
        <v>0</v>
      </c>
      <c r="IZ69" s="159">
        <v>0</v>
      </c>
      <c r="JA69" s="159">
        <v>0</v>
      </c>
      <c r="JB69" s="159">
        <v>0</v>
      </c>
      <c r="JC69" s="159">
        <v>0</v>
      </c>
      <c r="JD69" s="159">
        <v>185.31351118699999</v>
      </c>
      <c r="JE69" s="159">
        <v>0</v>
      </c>
      <c r="JF69" s="159">
        <v>0</v>
      </c>
      <c r="JG69" s="159">
        <v>0</v>
      </c>
      <c r="JH69" s="159">
        <v>0</v>
      </c>
      <c r="JI69" s="159">
        <v>0</v>
      </c>
      <c r="JJ69" s="159"/>
      <c r="JK69" s="159"/>
      <c r="JL69" s="159"/>
      <c r="JM69" s="159"/>
      <c r="JN69" s="159"/>
      <c r="JO69" s="159"/>
      <c r="JP69" s="159"/>
      <c r="JQ69" s="159"/>
    </row>
    <row r="70" spans="1:277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59"/>
      <c r="IU70" s="159"/>
      <c r="IV70" s="159"/>
      <c r="IW70" s="159"/>
      <c r="IX70" s="159"/>
      <c r="IY70" s="159"/>
      <c r="IZ70" s="159"/>
      <c r="JA70" s="159"/>
      <c r="JB70" s="159"/>
      <c r="JC70" s="159"/>
      <c r="JD70" s="159"/>
      <c r="JE70" s="159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</row>
    <row r="71" spans="1:277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4">
        <v>848.96992785400016</v>
      </c>
      <c r="HK71" s="164">
        <v>12.137308710000525</v>
      </c>
      <c r="HL71" s="164">
        <v>-549.28236193999965</v>
      </c>
      <c r="HM71" s="164">
        <v>91.251280878000216</v>
      </c>
      <c r="HN71" s="164">
        <v>296.9289315240012</v>
      </c>
      <c r="HO71" s="164">
        <v>159.03790858000002</v>
      </c>
      <c r="HP71" s="164">
        <v>85.394233523999901</v>
      </c>
      <c r="HQ71" s="164">
        <v>-377.82721408399993</v>
      </c>
      <c r="HR71" s="164">
        <v>-61.838962732000709</v>
      </c>
      <c r="HS71" s="164">
        <v>-238.44118697400017</v>
      </c>
      <c r="HT71" s="164">
        <v>137.45154410699979</v>
      </c>
      <c r="HU71" s="164">
        <v>-2353.1505870380001</v>
      </c>
      <c r="HV71" s="164">
        <v>487.35626008700001</v>
      </c>
      <c r="HW71" s="164">
        <v>110.58905746000028</v>
      </c>
      <c r="HX71" s="164">
        <v>-641.1399070489997</v>
      </c>
      <c r="HY71" s="164">
        <v>758.62583480500007</v>
      </c>
      <c r="HZ71" s="164">
        <v>1042.5764552249993</v>
      </c>
      <c r="IA71" s="164">
        <v>27.670754383999338</v>
      </c>
      <c r="IB71" s="164">
        <v>360.52305825899884</v>
      </c>
      <c r="IC71" s="164">
        <v>-157.20767317000036</v>
      </c>
      <c r="ID71" s="164">
        <v>162.64793679800005</v>
      </c>
      <c r="IE71" s="164">
        <v>-431.02765843399993</v>
      </c>
      <c r="IF71" s="164">
        <v>140.7586171920002</v>
      </c>
      <c r="IG71" s="164">
        <v>-2075.9568085220017</v>
      </c>
      <c r="IH71" s="164">
        <v>60.089517969000553</v>
      </c>
      <c r="II71" s="164">
        <v>-493.7975441399999</v>
      </c>
      <c r="IJ71" s="164">
        <v>-670.20636770200008</v>
      </c>
      <c r="IK71" s="164">
        <v>-129.17630966800016</v>
      </c>
      <c r="IL71" s="164">
        <v>515.85544108499926</v>
      </c>
      <c r="IM71" s="164">
        <v>288.83818403000078</v>
      </c>
      <c r="IN71" s="164">
        <v>394.92014657399977</v>
      </c>
      <c r="IO71" s="164">
        <v>-143.69332220600018</v>
      </c>
      <c r="IP71" s="164">
        <v>-228.85756748999938</v>
      </c>
      <c r="IQ71" s="164">
        <v>-334.17170214900034</v>
      </c>
      <c r="IR71" s="164">
        <v>127.28688409400002</v>
      </c>
      <c r="IS71" s="164">
        <v>-3950.7019679220002</v>
      </c>
      <c r="IT71" s="159">
        <v>1002.3856376040003</v>
      </c>
      <c r="IU71" s="159">
        <v>-591.62787570999944</v>
      </c>
      <c r="IV71" s="159">
        <v>-1699.7818783279995</v>
      </c>
      <c r="IW71" s="159">
        <v>1123.5998421269996</v>
      </c>
      <c r="IX71" s="159">
        <v>1144.9855842650004</v>
      </c>
      <c r="IY71" s="159">
        <v>450.90408300599984</v>
      </c>
      <c r="IZ71" s="159">
        <v>272.70787805200052</v>
      </c>
      <c r="JA71" s="159">
        <v>-812.31715226200004</v>
      </c>
      <c r="JB71" s="159">
        <v>-167.19173734499873</v>
      </c>
      <c r="JC71" s="159">
        <v>-331.00781719200131</v>
      </c>
      <c r="JD71" s="159">
        <v>-859.33549173100073</v>
      </c>
      <c r="JE71" s="159">
        <v>-1755.2083073820013</v>
      </c>
      <c r="JF71" s="159">
        <v>150.56811746199992</v>
      </c>
      <c r="JG71" s="159">
        <v>-232.51884824999979</v>
      </c>
      <c r="JH71" s="159">
        <v>-992.2092077289999</v>
      </c>
      <c r="JI71" s="159">
        <v>1181.7615780929996</v>
      </c>
      <c r="JJ71" s="159"/>
      <c r="JK71" s="159"/>
      <c r="JL71" s="159"/>
      <c r="JM71" s="159"/>
      <c r="JN71" s="159"/>
      <c r="JO71" s="159"/>
      <c r="JP71" s="159"/>
      <c r="JQ71" s="159"/>
    </row>
    <row r="72" spans="1:277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59"/>
      <c r="IU72" s="159"/>
      <c r="IV72" s="159"/>
      <c r="IW72" s="159"/>
      <c r="IX72" s="159"/>
      <c r="IY72" s="159"/>
      <c r="IZ72" s="159"/>
      <c r="JA72" s="159"/>
      <c r="JB72" s="159"/>
      <c r="JC72" s="159"/>
      <c r="JD72" s="159"/>
      <c r="JE72" s="159"/>
      <c r="JF72" s="159"/>
      <c r="JG72" s="159"/>
      <c r="JH72" s="159"/>
      <c r="JI72" s="159"/>
      <c r="JJ72" s="159"/>
      <c r="JK72" s="159"/>
      <c r="JL72" s="159"/>
      <c r="JM72" s="159"/>
      <c r="JN72" s="159"/>
      <c r="JO72" s="159"/>
      <c r="JP72" s="159"/>
      <c r="JQ72" s="159"/>
    </row>
    <row r="73" spans="1:277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59"/>
      <c r="IU73" s="159"/>
      <c r="IV73" s="159"/>
      <c r="IW73" s="159"/>
      <c r="IX73" s="159"/>
      <c r="IY73" s="159"/>
      <c r="IZ73" s="159"/>
      <c r="JA73" s="159"/>
      <c r="JB73" s="159"/>
      <c r="JC73" s="159"/>
      <c r="JD73" s="159"/>
      <c r="JE73" s="159"/>
      <c r="JF73" s="159"/>
      <c r="JG73" s="159"/>
      <c r="JH73" s="159"/>
      <c r="JI73" s="159"/>
      <c r="JJ73" s="159"/>
      <c r="JK73" s="159"/>
      <c r="JL73" s="159"/>
      <c r="JM73" s="159"/>
      <c r="JN73" s="159"/>
      <c r="JO73" s="159"/>
      <c r="JP73" s="159"/>
      <c r="JQ73" s="159"/>
    </row>
    <row r="74" spans="1:277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4">
        <v>351.200546342</v>
      </c>
      <c r="HK74" s="164">
        <v>256.878163347</v>
      </c>
      <c r="HL74" s="164">
        <v>549.36670378999997</v>
      </c>
      <c r="HM74" s="164">
        <v>572.115925404</v>
      </c>
      <c r="HN74" s="164">
        <v>447.30158323800003</v>
      </c>
      <c r="HO74" s="164">
        <v>602.67154546399979</v>
      </c>
      <c r="HP74" s="164">
        <v>670.32467355199992</v>
      </c>
      <c r="HQ74" s="164">
        <v>514.17291009999997</v>
      </c>
      <c r="HR74" s="164">
        <v>782.87648019799997</v>
      </c>
      <c r="HS74" s="164">
        <v>798.04740953099986</v>
      </c>
      <c r="HT74" s="164">
        <v>484.37519161999995</v>
      </c>
      <c r="HU74" s="164">
        <v>1847.869838826</v>
      </c>
      <c r="HV74" s="164">
        <v>150.41103527000001</v>
      </c>
      <c r="HW74" s="164">
        <v>704.32763323999984</v>
      </c>
      <c r="HX74" s="164">
        <v>782.70984796899972</v>
      </c>
      <c r="HY74" s="164">
        <v>635.54538233499989</v>
      </c>
      <c r="HZ74" s="164">
        <v>446.16607789999995</v>
      </c>
      <c r="IA74" s="164">
        <v>745.59017486897312</v>
      </c>
      <c r="IB74" s="164">
        <v>606.82756364900001</v>
      </c>
      <c r="IC74" s="164">
        <v>620.548820933</v>
      </c>
      <c r="ID74" s="164">
        <v>653.03030324600002</v>
      </c>
      <c r="IE74" s="164">
        <v>1056.3443942690001</v>
      </c>
      <c r="IF74" s="164">
        <v>730.54544868900007</v>
      </c>
      <c r="IG74" s="164">
        <v>1247.3256469080002</v>
      </c>
      <c r="IH74" s="164">
        <v>360.286152238</v>
      </c>
      <c r="II74" s="164">
        <v>535.47513248199994</v>
      </c>
      <c r="IJ74" s="164">
        <v>615.89220963100001</v>
      </c>
      <c r="IK74" s="164">
        <v>886.91010285099992</v>
      </c>
      <c r="IL74" s="164">
        <v>363.67095662999998</v>
      </c>
      <c r="IM74" s="164">
        <v>332.22961023699997</v>
      </c>
      <c r="IN74" s="164">
        <v>602.87989839299996</v>
      </c>
      <c r="IO74" s="164">
        <v>349.55572974400008</v>
      </c>
      <c r="IP74" s="164">
        <v>264.53358075799997</v>
      </c>
      <c r="IQ74" s="164">
        <v>658.11103892300002</v>
      </c>
      <c r="IR74" s="164">
        <v>928.61867993700002</v>
      </c>
      <c r="IS74" s="164">
        <v>2366.272428498</v>
      </c>
      <c r="IT74" s="159">
        <v>37.041825209999999</v>
      </c>
      <c r="IU74" s="159">
        <v>184.82380115500004</v>
      </c>
      <c r="IV74" s="159">
        <v>468.93283557800009</v>
      </c>
      <c r="IW74" s="159">
        <v>612.93987192400004</v>
      </c>
      <c r="IX74" s="159">
        <v>508.08560216199999</v>
      </c>
      <c r="IY74" s="159">
        <v>529.7948712650001</v>
      </c>
      <c r="IZ74" s="159">
        <v>715.2767886649998</v>
      </c>
      <c r="JA74" s="159">
        <v>645.81966667200004</v>
      </c>
      <c r="JB74" s="159">
        <v>538.2603576869999</v>
      </c>
      <c r="JC74" s="159">
        <v>588.54177369600006</v>
      </c>
      <c r="JD74" s="159">
        <v>718.50151981600004</v>
      </c>
      <c r="JE74" s="159">
        <v>810.47758804299997</v>
      </c>
      <c r="JF74" s="159">
        <v>380.00272154300001</v>
      </c>
      <c r="JG74" s="159">
        <v>907.87870943500013</v>
      </c>
      <c r="JH74" s="159">
        <v>466.08035353199995</v>
      </c>
      <c r="JI74" s="159">
        <v>318.76106640099999</v>
      </c>
      <c r="JJ74" s="159"/>
      <c r="JK74" s="159"/>
      <c r="JL74" s="159"/>
      <c r="JM74" s="159"/>
      <c r="JN74" s="159"/>
      <c r="JO74" s="159"/>
      <c r="JP74" s="159"/>
      <c r="JQ74" s="159"/>
    </row>
    <row r="75" spans="1:277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4">
        <v>56.722097298999984</v>
      </c>
      <c r="HK75" s="164">
        <v>256.12129134700001</v>
      </c>
      <c r="HL75" s="164">
        <v>446.67393295800002</v>
      </c>
      <c r="HM75" s="164">
        <v>561.97159128399994</v>
      </c>
      <c r="HN75" s="164">
        <v>446.34024823800002</v>
      </c>
      <c r="HO75" s="164">
        <v>477.93062447399984</v>
      </c>
      <c r="HP75" s="164">
        <v>513.66646919300001</v>
      </c>
      <c r="HQ75" s="164">
        <v>512.26262429299993</v>
      </c>
      <c r="HR75" s="164">
        <v>659.71209988299995</v>
      </c>
      <c r="HS75" s="164">
        <v>660.28680381399988</v>
      </c>
      <c r="HT75" s="164">
        <v>482.92633577599997</v>
      </c>
      <c r="HU75" s="164">
        <v>1715.978650219</v>
      </c>
      <c r="HV75" s="164">
        <v>148.23167074600002</v>
      </c>
      <c r="HW75" s="164">
        <v>566.42913321299989</v>
      </c>
      <c r="HX75" s="164">
        <v>485.77311215999976</v>
      </c>
      <c r="HY75" s="164">
        <v>626.19290550199992</v>
      </c>
      <c r="HZ75" s="164">
        <v>435.90611576099997</v>
      </c>
      <c r="IA75" s="164">
        <v>549.22808893900014</v>
      </c>
      <c r="IB75" s="164">
        <v>599.64698422399999</v>
      </c>
      <c r="IC75" s="164">
        <v>618.97392008700001</v>
      </c>
      <c r="ID75" s="164">
        <v>648.02599124599999</v>
      </c>
      <c r="IE75" s="164">
        <v>1008.8468665370001</v>
      </c>
      <c r="IF75" s="164">
        <v>606.27433354000004</v>
      </c>
      <c r="IG75" s="164">
        <v>1239.5135494280003</v>
      </c>
      <c r="IH75" s="164">
        <v>308.62149716700003</v>
      </c>
      <c r="II75" s="164">
        <v>527.13948275999996</v>
      </c>
      <c r="IJ75" s="164">
        <v>474.64080677700008</v>
      </c>
      <c r="IK75" s="164">
        <v>860.44673445399997</v>
      </c>
      <c r="IL75" s="164">
        <v>347.91515812999995</v>
      </c>
      <c r="IM75" s="164">
        <v>326.91210064699999</v>
      </c>
      <c r="IN75" s="164">
        <v>592.40043401200001</v>
      </c>
      <c r="IO75" s="164">
        <v>288.8359776530001</v>
      </c>
      <c r="IP75" s="164">
        <v>261.40965575799999</v>
      </c>
      <c r="IQ75" s="164">
        <v>596.22092383000006</v>
      </c>
      <c r="IR75" s="164">
        <v>883.52175959600004</v>
      </c>
      <c r="IS75" s="164">
        <v>2250.0884096539999</v>
      </c>
      <c r="IT75" s="159">
        <v>33.694866810000001</v>
      </c>
      <c r="IU75" s="159">
        <v>111.44811590300004</v>
      </c>
      <c r="IV75" s="159">
        <v>464.98149370800007</v>
      </c>
      <c r="IW75" s="159">
        <v>604.62276099900009</v>
      </c>
      <c r="IX75" s="159">
        <v>499.62814789699996</v>
      </c>
      <c r="IY75" s="159">
        <v>473.88904741100009</v>
      </c>
      <c r="IZ75" s="159">
        <v>714.07327816199984</v>
      </c>
      <c r="JA75" s="159">
        <v>511.73482078400002</v>
      </c>
      <c r="JB75" s="159">
        <v>534.61586540099995</v>
      </c>
      <c r="JC75" s="159">
        <v>582.8297692220001</v>
      </c>
      <c r="JD75" s="159">
        <v>692.72334497700001</v>
      </c>
      <c r="JE75" s="159">
        <v>777.06818651100002</v>
      </c>
      <c r="JF75" s="159">
        <v>367.81199148299999</v>
      </c>
      <c r="JG75" s="159">
        <v>904.49115439400009</v>
      </c>
      <c r="JH75" s="159">
        <v>461.83569623499994</v>
      </c>
      <c r="JI75" s="159">
        <v>314.11359140100001</v>
      </c>
      <c r="JJ75" s="159"/>
      <c r="JK75" s="159"/>
      <c r="JL75" s="159"/>
      <c r="JM75" s="159"/>
      <c r="JN75" s="159"/>
      <c r="JO75" s="159"/>
      <c r="JP75" s="159"/>
      <c r="JQ75" s="159"/>
    </row>
    <row r="76" spans="1:277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4">
        <v>4.3542000000000004E-2</v>
      </c>
      <c r="HK76" s="164">
        <v>0.7568720000000001</v>
      </c>
      <c r="HL76" s="164">
        <v>0.46079100000000001</v>
      </c>
      <c r="HM76" s="164">
        <v>10.144334120000002</v>
      </c>
      <c r="HN76" s="164">
        <v>0.96133499999999994</v>
      </c>
      <c r="HO76" s="164">
        <v>2.3693932499999999</v>
      </c>
      <c r="HP76" s="164">
        <v>3.2376322160000002</v>
      </c>
      <c r="HQ76" s="164">
        <v>1.9102858070000002</v>
      </c>
      <c r="HR76" s="164">
        <v>1.5840022660000002</v>
      </c>
      <c r="HS76" s="164">
        <v>0.49872349999999999</v>
      </c>
      <c r="HT76" s="164">
        <v>1.4488558439999999</v>
      </c>
      <c r="HU76" s="164">
        <v>9.4411769999999997</v>
      </c>
      <c r="HV76" s="164">
        <v>2.1793645239999999</v>
      </c>
      <c r="HW76" s="164">
        <v>0.22769010000000001</v>
      </c>
      <c r="HX76" s="164">
        <v>2.4427370179999999</v>
      </c>
      <c r="HY76" s="164">
        <v>9.3524768330000008</v>
      </c>
      <c r="HZ76" s="164">
        <v>10.259962139000001</v>
      </c>
      <c r="IA76" s="164">
        <v>3.4304171329999997</v>
      </c>
      <c r="IB76" s="164">
        <v>7.1805794249999995</v>
      </c>
      <c r="IC76" s="164">
        <v>1.574900846</v>
      </c>
      <c r="ID76" s="164">
        <v>5.0043119999999996</v>
      </c>
      <c r="IE76" s="164">
        <v>1.1074111499999999</v>
      </c>
      <c r="IF76" s="164">
        <v>2.6037714999999997</v>
      </c>
      <c r="IG76" s="164">
        <v>7.8120974799999994</v>
      </c>
      <c r="IH76" s="164">
        <v>0</v>
      </c>
      <c r="II76" s="164">
        <v>8.3356497219999994</v>
      </c>
      <c r="IJ76" s="164">
        <v>2.422942682</v>
      </c>
      <c r="IK76" s="164">
        <v>2.5699564700000002</v>
      </c>
      <c r="IL76" s="164">
        <v>15.755798500000001</v>
      </c>
      <c r="IM76" s="164">
        <v>5.3175095899999993</v>
      </c>
      <c r="IN76" s="164">
        <v>10.479464381000001</v>
      </c>
      <c r="IO76" s="164">
        <v>7.5623311209999997</v>
      </c>
      <c r="IP76" s="164">
        <v>3.1239250000000003</v>
      </c>
      <c r="IQ76" s="164">
        <v>5.5131234809999992</v>
      </c>
      <c r="IR76" s="164">
        <v>5.7114250000000002</v>
      </c>
      <c r="IS76" s="164">
        <v>6.603900361</v>
      </c>
      <c r="IT76" s="159">
        <v>3.3469584000000001</v>
      </c>
      <c r="IU76" s="159">
        <v>8.8194265639999987</v>
      </c>
      <c r="IV76" s="159">
        <v>3.9513418699999998</v>
      </c>
      <c r="IW76" s="159">
        <v>8.3171109249999997</v>
      </c>
      <c r="IX76" s="159">
        <v>8.4574542649999991</v>
      </c>
      <c r="IY76" s="159">
        <v>4.8409505489999995</v>
      </c>
      <c r="IZ76" s="159">
        <v>1.203510503</v>
      </c>
      <c r="JA76" s="159">
        <v>7.0126755730000001</v>
      </c>
      <c r="JB76" s="159">
        <v>3.6444922860000002</v>
      </c>
      <c r="JC76" s="159">
        <v>5.7120044740000004</v>
      </c>
      <c r="JD76" s="159">
        <v>25.778174838999998</v>
      </c>
      <c r="JE76" s="159">
        <v>33.409401532000004</v>
      </c>
      <c r="JF76" s="159">
        <v>12.19073006</v>
      </c>
      <c r="JG76" s="159">
        <v>3.3875550410000002</v>
      </c>
      <c r="JH76" s="159">
        <v>4.2446572969999998</v>
      </c>
      <c r="JI76" s="159">
        <v>4.647475</v>
      </c>
      <c r="JJ76" s="159"/>
      <c r="JK76" s="159"/>
      <c r="JL76" s="159"/>
      <c r="JM76" s="159"/>
      <c r="JN76" s="159"/>
      <c r="JO76" s="159"/>
      <c r="JP76" s="159"/>
      <c r="JQ76" s="159"/>
    </row>
    <row r="77" spans="1:277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4">
        <v>294.43490704300001</v>
      </c>
      <c r="HK77" s="164">
        <v>0</v>
      </c>
      <c r="HL77" s="164">
        <v>102.23197983199999</v>
      </c>
      <c r="HM77" s="164">
        <v>0</v>
      </c>
      <c r="HN77" s="164">
        <v>0</v>
      </c>
      <c r="HO77" s="164">
        <v>122.37152774</v>
      </c>
      <c r="HP77" s="164">
        <v>153.42057214299999</v>
      </c>
      <c r="HQ77" s="164">
        <v>0</v>
      </c>
      <c r="HR77" s="164">
        <v>121.580378049</v>
      </c>
      <c r="HS77" s="164">
        <v>137.26188221699999</v>
      </c>
      <c r="HT77" s="164">
        <v>0</v>
      </c>
      <c r="HU77" s="164">
        <v>122.45001160699999</v>
      </c>
      <c r="HV77" s="164">
        <v>0</v>
      </c>
      <c r="HW77" s="164">
        <v>137.67080992699999</v>
      </c>
      <c r="HX77" s="164">
        <v>294.49399879099997</v>
      </c>
      <c r="HY77" s="164">
        <v>0</v>
      </c>
      <c r="HZ77" s="164">
        <v>0</v>
      </c>
      <c r="IA77" s="164">
        <v>192.93166879697301</v>
      </c>
      <c r="IB77" s="164">
        <v>0</v>
      </c>
      <c r="IC77" s="164">
        <v>0</v>
      </c>
      <c r="ID77" s="164">
        <v>0</v>
      </c>
      <c r="IE77" s="164">
        <v>46.390116582000005</v>
      </c>
      <c r="IF77" s="164">
        <v>121.667343649</v>
      </c>
      <c r="IG77" s="164">
        <v>0</v>
      </c>
      <c r="IH77" s="164">
        <v>51.664655070999999</v>
      </c>
      <c r="II77" s="164">
        <v>0</v>
      </c>
      <c r="IJ77" s="164">
        <v>138.82846017199998</v>
      </c>
      <c r="IK77" s="164">
        <v>23.893411927000002</v>
      </c>
      <c r="IL77" s="164">
        <v>0</v>
      </c>
      <c r="IM77" s="164">
        <v>0</v>
      </c>
      <c r="IN77" s="164">
        <v>0</v>
      </c>
      <c r="IO77" s="164">
        <v>53.157420969999997</v>
      </c>
      <c r="IP77" s="164">
        <v>0</v>
      </c>
      <c r="IQ77" s="164">
        <v>56.376991611999998</v>
      </c>
      <c r="IR77" s="164">
        <v>39.385495341000002</v>
      </c>
      <c r="IS77" s="164">
        <v>109.58011848299999</v>
      </c>
      <c r="IT77" s="159">
        <v>0</v>
      </c>
      <c r="IU77" s="159">
        <v>64.556258688</v>
      </c>
      <c r="IV77" s="159">
        <v>0</v>
      </c>
      <c r="IW77" s="159">
        <v>0</v>
      </c>
      <c r="IX77" s="159">
        <v>0</v>
      </c>
      <c r="IY77" s="159">
        <v>51.064873304999999</v>
      </c>
      <c r="IZ77" s="159">
        <v>0</v>
      </c>
      <c r="JA77" s="159">
        <v>127.07217031499999</v>
      </c>
      <c r="JB77" s="159">
        <v>0</v>
      </c>
      <c r="JC77" s="159">
        <v>0</v>
      </c>
      <c r="JD77" s="159">
        <v>0</v>
      </c>
      <c r="JE77" s="159">
        <v>0</v>
      </c>
      <c r="JF77" s="159">
        <v>0</v>
      </c>
      <c r="JG77" s="159">
        <v>0</v>
      </c>
      <c r="JH77" s="159">
        <v>0</v>
      </c>
      <c r="JI77" s="159">
        <v>0</v>
      </c>
      <c r="JJ77" s="159"/>
      <c r="JK77" s="159"/>
      <c r="JL77" s="159"/>
      <c r="JM77" s="159"/>
      <c r="JN77" s="159"/>
      <c r="JO77" s="159"/>
      <c r="JP77" s="159"/>
      <c r="JQ77" s="159"/>
    </row>
    <row r="78" spans="1:277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8">
        <v>497.76938151200017</v>
      </c>
      <c r="HK78" s="168">
        <v>-244.74085463699947</v>
      </c>
      <c r="HL78" s="168">
        <v>-1098.6490657299996</v>
      </c>
      <c r="HM78" s="168">
        <v>-480.86464452599978</v>
      </c>
      <c r="HN78" s="168">
        <v>-150.37265171399883</v>
      </c>
      <c r="HO78" s="168">
        <v>-443.63363688399977</v>
      </c>
      <c r="HP78" s="168">
        <v>-584.93044002800002</v>
      </c>
      <c r="HQ78" s="168">
        <v>-892.0001241839999</v>
      </c>
      <c r="HR78" s="168">
        <v>-844.71544293000068</v>
      </c>
      <c r="HS78" s="168">
        <v>-1036.488596505</v>
      </c>
      <c r="HT78" s="168">
        <v>-346.92364751300016</v>
      </c>
      <c r="HU78" s="168">
        <v>-4201.0204258640006</v>
      </c>
      <c r="HV78" s="168">
        <v>336.945224817</v>
      </c>
      <c r="HW78" s="168">
        <v>-593.73857577999956</v>
      </c>
      <c r="HX78" s="168">
        <v>-1423.8497550179995</v>
      </c>
      <c r="HY78" s="168">
        <v>123.08045247000018</v>
      </c>
      <c r="HZ78" s="168">
        <v>596.41037732499944</v>
      </c>
      <c r="IA78" s="168">
        <v>-717.91942048497378</v>
      </c>
      <c r="IB78" s="168">
        <v>-246.30450539000117</v>
      </c>
      <c r="IC78" s="168">
        <v>-777.75649410300036</v>
      </c>
      <c r="ID78" s="168">
        <v>-490.38236644799997</v>
      </c>
      <c r="IE78" s="168">
        <v>-1487.372052703</v>
      </c>
      <c r="IF78" s="168">
        <v>-589.78683149699987</v>
      </c>
      <c r="IG78" s="168">
        <v>-3323.2824554300018</v>
      </c>
      <c r="IH78" s="168">
        <v>-300.19663426899945</v>
      </c>
      <c r="II78" s="168">
        <v>-1029.2726766219998</v>
      </c>
      <c r="IJ78" s="168">
        <v>-1286.0985773330001</v>
      </c>
      <c r="IK78" s="168">
        <v>-1016.0864125190001</v>
      </c>
      <c r="IL78" s="168">
        <v>152.18448445499928</v>
      </c>
      <c r="IM78" s="168">
        <v>-43.391426206999199</v>
      </c>
      <c r="IN78" s="168">
        <v>-207.95975181900019</v>
      </c>
      <c r="IO78" s="168">
        <v>-493.24905195000025</v>
      </c>
      <c r="IP78" s="168">
        <v>-493.39114824799935</v>
      </c>
      <c r="IQ78" s="168">
        <v>-992.28274107200036</v>
      </c>
      <c r="IR78" s="168">
        <v>-801.33179584300001</v>
      </c>
      <c r="IS78" s="168">
        <v>-6316.9743964200006</v>
      </c>
      <c r="IT78" s="163">
        <v>965.34381239400034</v>
      </c>
      <c r="IU78" s="163">
        <v>-776.45167686499951</v>
      </c>
      <c r="IV78" s="163">
        <v>-2168.7147139059998</v>
      </c>
      <c r="IW78" s="163">
        <v>510.6599702029996</v>
      </c>
      <c r="IX78" s="163">
        <v>636.89998210300041</v>
      </c>
      <c r="IY78" s="163">
        <v>-78.89078825900026</v>
      </c>
      <c r="IZ78" s="163">
        <v>-442.56891061299928</v>
      </c>
      <c r="JA78" s="163">
        <v>-1458.1368189340001</v>
      </c>
      <c r="JB78" s="163">
        <v>-705.45209503199862</v>
      </c>
      <c r="JC78" s="163">
        <v>-919.54959088800138</v>
      </c>
      <c r="JD78" s="163">
        <v>-1577.8370115470007</v>
      </c>
      <c r="JE78" s="163">
        <v>-2565.685895425001</v>
      </c>
      <c r="JF78" s="163">
        <v>-229.43460408100009</v>
      </c>
      <c r="JG78" s="163">
        <v>-1140.3975576849998</v>
      </c>
      <c r="JH78" s="163">
        <v>-1458.2895612609998</v>
      </c>
      <c r="JI78" s="163">
        <v>863.00051169199958</v>
      </c>
      <c r="JJ78" s="163"/>
      <c r="JK78" s="163"/>
      <c r="JL78" s="163"/>
      <c r="JM78" s="163"/>
      <c r="JN78" s="163"/>
      <c r="JO78" s="163"/>
      <c r="JP78" s="163"/>
      <c r="JQ78" s="163"/>
    </row>
    <row r="79" spans="1:277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59"/>
      <c r="IU79" s="159"/>
      <c r="IV79" s="159"/>
      <c r="IW79" s="159"/>
      <c r="IX79" s="159"/>
      <c r="IY79" s="159"/>
      <c r="IZ79" s="159"/>
      <c r="JA79" s="159"/>
      <c r="JB79" s="159"/>
      <c r="JC79" s="159"/>
      <c r="JD79" s="159"/>
      <c r="JE79" s="159"/>
      <c r="JF79" s="159"/>
      <c r="JG79" s="159"/>
      <c r="JH79" s="159"/>
      <c r="JI79" s="159"/>
      <c r="JJ79" s="159"/>
      <c r="JK79" s="159"/>
      <c r="JL79" s="159"/>
      <c r="JM79" s="159"/>
      <c r="JN79" s="159"/>
      <c r="JO79" s="159"/>
      <c r="JP79" s="159"/>
      <c r="JQ79" s="159"/>
    </row>
    <row r="80" spans="1:277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59"/>
      <c r="IU80" s="159"/>
      <c r="IV80" s="159"/>
      <c r="IW80" s="159"/>
      <c r="IX80" s="159"/>
      <c r="IY80" s="159"/>
      <c r="IZ80" s="159"/>
      <c r="JA80" s="159"/>
      <c r="JB80" s="159"/>
      <c r="JC80" s="159"/>
      <c r="JD80" s="159"/>
      <c r="JE80" s="159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</row>
    <row r="81" spans="1:277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59"/>
      <c r="IU81" s="159"/>
      <c r="IV81" s="159"/>
      <c r="IW81" s="159"/>
      <c r="IX81" s="159"/>
      <c r="IY81" s="159"/>
      <c r="IZ81" s="159"/>
      <c r="JA81" s="159"/>
      <c r="JB81" s="159"/>
      <c r="JC81" s="159"/>
      <c r="JD81" s="159"/>
      <c r="JE81" s="159"/>
      <c r="JF81" s="159"/>
      <c r="JG81" s="159"/>
      <c r="JH81" s="159"/>
      <c r="JI81" s="159"/>
      <c r="JJ81" s="159"/>
      <c r="JK81" s="159"/>
      <c r="JL81" s="159"/>
      <c r="JM81" s="159"/>
      <c r="JN81" s="159"/>
      <c r="JO81" s="159"/>
      <c r="JP81" s="159"/>
      <c r="JQ81" s="159"/>
    </row>
    <row r="82" spans="1:277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4">
        <v>3433.1500896124794</v>
      </c>
      <c r="HK82" s="164">
        <v>-449.99490536915198</v>
      </c>
      <c r="HL82" s="164">
        <v>-1337.6371232462775</v>
      </c>
      <c r="HM82" s="164">
        <v>624.69097851008917</v>
      </c>
      <c r="HN82" s="164">
        <v>62.865987360629966</v>
      </c>
      <c r="HO82" s="164">
        <v>203.75903081913569</v>
      </c>
      <c r="HP82" s="164">
        <v>186.12085610654944</v>
      </c>
      <c r="HQ82" s="164">
        <v>-901.72490927566446</v>
      </c>
      <c r="HR82" s="164">
        <v>-580.75825553873096</v>
      </c>
      <c r="HS82" s="164">
        <v>578.47406340663656</v>
      </c>
      <c r="HT82" s="164">
        <v>1547.1819274457814</v>
      </c>
      <c r="HU82" s="164">
        <v>-1896.4000410956496</v>
      </c>
      <c r="HV82" s="164">
        <v>1029.8677917933881</v>
      </c>
      <c r="HW82" s="164">
        <v>1248.8458354875102</v>
      </c>
      <c r="HX82" s="164">
        <v>-1076.5904365615702</v>
      </c>
      <c r="HY82" s="164">
        <v>184.8064157339748</v>
      </c>
      <c r="HZ82" s="164">
        <v>2073.3753530151839</v>
      </c>
      <c r="IA82" s="164">
        <v>-329.06301537710061</v>
      </c>
      <c r="IB82" s="164">
        <v>45.372041049668773</v>
      </c>
      <c r="IC82" s="164">
        <v>-418.26394490303596</v>
      </c>
      <c r="ID82" s="164">
        <v>1029.9176726785681</v>
      </c>
      <c r="IE82" s="164">
        <v>1238.8438406987202</v>
      </c>
      <c r="IF82" s="164">
        <v>-915.712402647369</v>
      </c>
      <c r="IG82" s="164">
        <v>-2408.9767489584569</v>
      </c>
      <c r="IH82" s="164">
        <v>47.742805617724223</v>
      </c>
      <c r="II82" s="164">
        <v>-575.5391866699033</v>
      </c>
      <c r="IJ82" s="164">
        <v>-783.67654629411527</v>
      </c>
      <c r="IK82" s="164">
        <v>158.89390416868912</v>
      </c>
      <c r="IL82" s="164">
        <v>-265.47025143900339</v>
      </c>
      <c r="IM82" s="164">
        <v>281.0712814522015</v>
      </c>
      <c r="IN82" s="164">
        <v>4197.4687696707442</v>
      </c>
      <c r="IO82" s="164">
        <v>-1231.0962531790208</v>
      </c>
      <c r="IP82" s="164">
        <v>489.15356658901783</v>
      </c>
      <c r="IQ82" s="164">
        <v>-405.71327093265296</v>
      </c>
      <c r="IR82" s="164">
        <v>-615.09613539183124</v>
      </c>
      <c r="IS82" s="164">
        <v>-1824.917376734724</v>
      </c>
      <c r="IT82" s="159">
        <v>-1021.9301791981368</v>
      </c>
      <c r="IU82" s="159">
        <v>6691.0526495389449</v>
      </c>
      <c r="IV82" s="159">
        <v>-2780.3319370007994</v>
      </c>
      <c r="IW82" s="159">
        <v>1032.9323695654336</v>
      </c>
      <c r="IX82" s="159">
        <v>1521.62250532751</v>
      </c>
      <c r="IY82" s="159">
        <v>1196.9125215232857</v>
      </c>
      <c r="IZ82" s="159">
        <v>-312.96146151344402</v>
      </c>
      <c r="JA82" s="159">
        <v>-1488.3632967455189</v>
      </c>
      <c r="JB82" s="159">
        <v>-1211.4422126146512</v>
      </c>
      <c r="JC82" s="159">
        <v>398.30968855251842</v>
      </c>
      <c r="JD82" s="159">
        <v>-1119.7267750241986</v>
      </c>
      <c r="JE82" s="159">
        <v>-2942.1166630269895</v>
      </c>
      <c r="JF82" s="159">
        <v>319.47266532185813</v>
      </c>
      <c r="JG82" s="159">
        <v>1076.7600171756753</v>
      </c>
      <c r="JH82" s="159">
        <v>4909.7027471927868</v>
      </c>
      <c r="JI82" s="159">
        <v>130.90385980099998</v>
      </c>
      <c r="JJ82" s="159"/>
      <c r="JK82" s="159"/>
      <c r="JL82" s="159"/>
      <c r="JM82" s="159"/>
      <c r="JN82" s="159"/>
      <c r="JO82" s="159"/>
      <c r="JP82" s="159"/>
      <c r="JQ82" s="159"/>
    </row>
    <row r="83" spans="1:277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4">
        <v>3433.1500896124794</v>
      </c>
      <c r="HK83" s="164">
        <v>-449.99490536915198</v>
      </c>
      <c r="HL83" s="164">
        <v>-1337.6371232462775</v>
      </c>
      <c r="HM83" s="164">
        <v>624.69097851008917</v>
      </c>
      <c r="HN83" s="164">
        <v>62.865987360629966</v>
      </c>
      <c r="HO83" s="164">
        <v>203.75903081913569</v>
      </c>
      <c r="HP83" s="164">
        <v>186.12085610654944</v>
      </c>
      <c r="HQ83" s="164">
        <v>-901.72490927566446</v>
      </c>
      <c r="HR83" s="164">
        <v>-580.75825553873096</v>
      </c>
      <c r="HS83" s="164">
        <v>578.47406340663656</v>
      </c>
      <c r="HT83" s="164">
        <v>1547.1819274457814</v>
      </c>
      <c r="HU83" s="164">
        <v>-1896.4000410956496</v>
      </c>
      <c r="HV83" s="164">
        <v>1029.8677917933881</v>
      </c>
      <c r="HW83" s="164">
        <v>1248.8458354875102</v>
      </c>
      <c r="HX83" s="164">
        <v>-1076.5904365615702</v>
      </c>
      <c r="HY83" s="164">
        <v>184.8064157339748</v>
      </c>
      <c r="HZ83" s="164">
        <v>2073.3753530151839</v>
      </c>
      <c r="IA83" s="164">
        <v>-329.06301537710061</v>
      </c>
      <c r="IB83" s="164">
        <v>45.372041049668773</v>
      </c>
      <c r="IC83" s="164">
        <v>-418.26394490303596</v>
      </c>
      <c r="ID83" s="164">
        <v>1029.9176726785681</v>
      </c>
      <c r="IE83" s="164">
        <v>1238.8438406987202</v>
      </c>
      <c r="IF83" s="164">
        <v>-915.712402647369</v>
      </c>
      <c r="IG83" s="164">
        <v>-2408.9767489584569</v>
      </c>
      <c r="IH83" s="164">
        <v>47.742805617724223</v>
      </c>
      <c r="II83" s="164">
        <v>-575.5391866699033</v>
      </c>
      <c r="IJ83" s="164">
        <v>-783.67654629411527</v>
      </c>
      <c r="IK83" s="164">
        <v>158.89390416868912</v>
      </c>
      <c r="IL83" s="164">
        <v>-265.47025143900339</v>
      </c>
      <c r="IM83" s="164">
        <v>281.0712814522015</v>
      </c>
      <c r="IN83" s="164">
        <v>4197.4687696707442</v>
      </c>
      <c r="IO83" s="164">
        <v>-1231.0962531790208</v>
      </c>
      <c r="IP83" s="164">
        <v>489.15356658901783</v>
      </c>
      <c r="IQ83" s="164">
        <v>-405.71327093265296</v>
      </c>
      <c r="IR83" s="164">
        <v>-615.09613539183124</v>
      </c>
      <c r="IS83" s="164">
        <v>-1824.917376734724</v>
      </c>
      <c r="IT83" s="159">
        <v>-1021.9301791981368</v>
      </c>
      <c r="IU83" s="159">
        <v>6691.0526495389449</v>
      </c>
      <c r="IV83" s="159">
        <v>-2780.3319370007994</v>
      </c>
      <c r="IW83" s="159">
        <v>1032.9323695654336</v>
      </c>
      <c r="IX83" s="159">
        <v>1521.62250532751</v>
      </c>
      <c r="IY83" s="159">
        <v>1196.9125215232857</v>
      </c>
      <c r="IZ83" s="159">
        <v>-312.96146151344402</v>
      </c>
      <c r="JA83" s="159">
        <v>-1488.3632967455189</v>
      </c>
      <c r="JB83" s="159">
        <v>-1211.4422126146512</v>
      </c>
      <c r="JC83" s="159">
        <v>398.30968855251842</v>
      </c>
      <c r="JD83" s="159">
        <v>-1119.7267750241986</v>
      </c>
      <c r="JE83" s="159">
        <v>-2942.1166630269895</v>
      </c>
      <c r="JF83" s="159">
        <v>319.47266532185813</v>
      </c>
      <c r="JG83" s="159">
        <v>1076.7600171756753</v>
      </c>
      <c r="JH83" s="159">
        <v>4909.7027471927868</v>
      </c>
      <c r="JI83" s="159">
        <v>130.90385980099998</v>
      </c>
      <c r="JJ83" s="159"/>
      <c r="JK83" s="159"/>
      <c r="JL83" s="159"/>
      <c r="JM83" s="159"/>
      <c r="JN83" s="159"/>
      <c r="JO83" s="159"/>
      <c r="JP83" s="159"/>
      <c r="JQ83" s="159"/>
    </row>
    <row r="84" spans="1:277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4">
        <v>0</v>
      </c>
      <c r="HK84" s="164">
        <v>0</v>
      </c>
      <c r="HL84" s="164">
        <v>0</v>
      </c>
      <c r="HM84" s="164">
        <v>0</v>
      </c>
      <c r="HN84" s="164">
        <v>0</v>
      </c>
      <c r="HO84" s="164">
        <v>0</v>
      </c>
      <c r="HP84" s="164">
        <v>0</v>
      </c>
      <c r="HQ84" s="164">
        <v>0</v>
      </c>
      <c r="HR84" s="164">
        <v>0</v>
      </c>
      <c r="HS84" s="164">
        <v>0</v>
      </c>
      <c r="HT84" s="164">
        <v>0</v>
      </c>
      <c r="HU84" s="164">
        <v>0</v>
      </c>
      <c r="HV84" s="164">
        <v>0</v>
      </c>
      <c r="HW84" s="164">
        <v>0</v>
      </c>
      <c r="HX84" s="164">
        <v>0</v>
      </c>
      <c r="HY84" s="164">
        <v>0</v>
      </c>
      <c r="HZ84" s="164">
        <v>0</v>
      </c>
      <c r="IA84" s="164">
        <v>0</v>
      </c>
      <c r="IB84" s="164">
        <v>0</v>
      </c>
      <c r="IC84" s="164">
        <v>0</v>
      </c>
      <c r="ID84" s="164">
        <v>0</v>
      </c>
      <c r="IE84" s="164">
        <v>0</v>
      </c>
      <c r="IF84" s="164">
        <v>0</v>
      </c>
      <c r="IG84" s="164">
        <v>0</v>
      </c>
      <c r="IH84" s="164">
        <v>0</v>
      </c>
      <c r="II84" s="164">
        <v>0</v>
      </c>
      <c r="IJ84" s="164">
        <v>0</v>
      </c>
      <c r="IK84" s="164">
        <v>0</v>
      </c>
      <c r="IL84" s="164">
        <v>0</v>
      </c>
      <c r="IM84" s="164">
        <v>0</v>
      </c>
      <c r="IN84" s="164">
        <v>0</v>
      </c>
      <c r="IO84" s="164">
        <v>0</v>
      </c>
      <c r="IP84" s="164">
        <v>0</v>
      </c>
      <c r="IQ84" s="164">
        <v>0</v>
      </c>
      <c r="IR84" s="164">
        <v>0</v>
      </c>
      <c r="IS84" s="164">
        <v>0</v>
      </c>
      <c r="IT84" s="159">
        <v>0</v>
      </c>
      <c r="IU84" s="159">
        <v>0</v>
      </c>
      <c r="IV84" s="159">
        <v>0</v>
      </c>
      <c r="IW84" s="159">
        <v>0</v>
      </c>
      <c r="IX84" s="159">
        <v>0</v>
      </c>
      <c r="IY84" s="159">
        <v>0</v>
      </c>
      <c r="IZ84" s="159">
        <v>0</v>
      </c>
      <c r="JA84" s="159">
        <v>0</v>
      </c>
      <c r="JB84" s="159">
        <v>0</v>
      </c>
      <c r="JC84" s="159">
        <v>0</v>
      </c>
      <c r="JD84" s="159">
        <v>0</v>
      </c>
      <c r="JE84" s="159">
        <v>0</v>
      </c>
      <c r="JF84" s="159">
        <v>0</v>
      </c>
      <c r="JG84" s="159">
        <v>0</v>
      </c>
      <c r="JH84" s="159">
        <v>0</v>
      </c>
      <c r="JI84" s="159">
        <v>0</v>
      </c>
      <c r="JJ84" s="159"/>
      <c r="JK84" s="159"/>
      <c r="JL84" s="159"/>
      <c r="JM84" s="159"/>
      <c r="JN84" s="159"/>
      <c r="JO84" s="159"/>
      <c r="JP84" s="159"/>
      <c r="JQ84" s="159"/>
    </row>
    <row r="85" spans="1:277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4">
        <v>4669.3002783510001</v>
      </c>
      <c r="HK85" s="164">
        <v>208.52529535299999</v>
      </c>
      <c r="HL85" s="164">
        <v>517.72980428300002</v>
      </c>
      <c r="HM85" s="164">
        <v>573.69443376599997</v>
      </c>
      <c r="HN85" s="164">
        <v>-42.651590705999993</v>
      </c>
      <c r="HO85" s="164">
        <v>581.47083318599994</v>
      </c>
      <c r="HP85" s="164">
        <v>756.03089962800004</v>
      </c>
      <c r="HQ85" s="164">
        <v>378.24541871299999</v>
      </c>
      <c r="HR85" s="164">
        <v>490.88714562700011</v>
      </c>
      <c r="HS85" s="164">
        <v>819.50834425399989</v>
      </c>
      <c r="HT85" s="164">
        <v>2460.0603359159995</v>
      </c>
      <c r="HU85" s="164">
        <v>1855.5574027990001</v>
      </c>
      <c r="HV85" s="164">
        <v>66.738998314999662</v>
      </c>
      <c r="HW85" s="164">
        <v>807.67977038599997</v>
      </c>
      <c r="HX85" s="164">
        <v>490.167820576</v>
      </c>
      <c r="HY85" s="164">
        <v>240.25088086700006</v>
      </c>
      <c r="HZ85" s="164">
        <v>1714.205332215</v>
      </c>
      <c r="IA85" s="164">
        <v>569.62845444797313</v>
      </c>
      <c r="IB85" s="164">
        <v>516.07050295299996</v>
      </c>
      <c r="IC85" s="164">
        <v>358.05901475499991</v>
      </c>
      <c r="ID85" s="164">
        <v>1569.6255521210003</v>
      </c>
      <c r="IE85" s="164">
        <v>1911.5451343749999</v>
      </c>
      <c r="IF85" s="164">
        <v>-213.49222268600002</v>
      </c>
      <c r="IG85" s="164">
        <v>237.59048417999986</v>
      </c>
      <c r="IH85" s="164">
        <v>2352.705991586</v>
      </c>
      <c r="II85" s="164">
        <v>-1097.163570487</v>
      </c>
      <c r="IJ85" s="164">
        <v>755.79403215499997</v>
      </c>
      <c r="IK85" s="164">
        <v>1090.9989846199999</v>
      </c>
      <c r="IL85" s="164">
        <v>-190.93621516400003</v>
      </c>
      <c r="IM85" s="164">
        <v>199.90619304100002</v>
      </c>
      <c r="IN85" s="164">
        <v>4458.6042673970005</v>
      </c>
      <c r="IO85" s="164">
        <v>-535.35289968899997</v>
      </c>
      <c r="IP85" s="164">
        <v>854.28511848599987</v>
      </c>
      <c r="IQ85" s="164">
        <v>487.30944538800009</v>
      </c>
      <c r="IR85" s="164">
        <v>717.8428640840001</v>
      </c>
      <c r="IS85" s="164">
        <v>4190.648933341</v>
      </c>
      <c r="IT85" s="159">
        <v>-1521.7260932849999</v>
      </c>
      <c r="IU85" s="159">
        <v>4295.8483699769995</v>
      </c>
      <c r="IV85" s="159">
        <v>-549.798588688</v>
      </c>
      <c r="IW85" s="159">
        <v>1153.2862042270001</v>
      </c>
      <c r="IX85" s="159">
        <v>1505.7304167899997</v>
      </c>
      <c r="IY85" s="159">
        <v>909.80212153999992</v>
      </c>
      <c r="IZ85" s="159">
        <v>678.19981373100006</v>
      </c>
      <c r="JA85" s="159">
        <v>44.507139940999934</v>
      </c>
      <c r="JB85" s="159">
        <v>62.915004827999923</v>
      </c>
      <c r="JC85" s="159">
        <v>1670.2285169199997</v>
      </c>
      <c r="JD85" s="159">
        <v>218.57116936399996</v>
      </c>
      <c r="JE85" s="159">
        <v>403.93700590900005</v>
      </c>
      <c r="JF85" s="159">
        <v>-296.85228073699989</v>
      </c>
      <c r="JG85" s="159">
        <v>202.44650839999997</v>
      </c>
      <c r="JH85" s="159">
        <v>6429.6553492149988</v>
      </c>
      <c r="JI85" s="159">
        <v>-71.729901597000008</v>
      </c>
      <c r="JJ85" s="159"/>
      <c r="JK85" s="159"/>
      <c r="JL85" s="159"/>
      <c r="JM85" s="159"/>
      <c r="JN85" s="159"/>
      <c r="JO85" s="159"/>
      <c r="JP85" s="159"/>
      <c r="JQ85" s="159"/>
    </row>
    <row r="86" spans="1:277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4">
        <v>918.69324740500008</v>
      </c>
      <c r="HK86" s="164">
        <v>98.310507419999979</v>
      </c>
      <c r="HL86" s="164">
        <v>295.44448527500003</v>
      </c>
      <c r="HM86" s="164">
        <v>286.80615148699997</v>
      </c>
      <c r="HN86" s="164">
        <v>22.000025976000018</v>
      </c>
      <c r="HO86" s="164">
        <v>112.19727048999999</v>
      </c>
      <c r="HP86" s="164">
        <v>266.21093465600001</v>
      </c>
      <c r="HQ86" s="164">
        <v>323.095029673</v>
      </c>
      <c r="HR86" s="164">
        <v>-46.86946810500001</v>
      </c>
      <c r="HS86" s="164">
        <v>214.67323175000001</v>
      </c>
      <c r="HT86" s="164">
        <v>-789.73131593300002</v>
      </c>
      <c r="HU86" s="164">
        <v>671.43699021000009</v>
      </c>
      <c r="HV86" s="164">
        <v>-1347.9420593930004</v>
      </c>
      <c r="HW86" s="164">
        <v>333.27082194099995</v>
      </c>
      <c r="HX86" s="164">
        <v>123.61144247200002</v>
      </c>
      <c r="HY86" s="164">
        <v>-130.738301845</v>
      </c>
      <c r="HZ86" s="164">
        <v>17.451254062</v>
      </c>
      <c r="IA86" s="164">
        <v>23.242960031000003</v>
      </c>
      <c r="IB86" s="164">
        <v>310.91712368599997</v>
      </c>
      <c r="IC86" s="164">
        <v>-15.018666679000015</v>
      </c>
      <c r="ID86" s="164">
        <v>-56.631383043</v>
      </c>
      <c r="IE86" s="164">
        <v>62.704012530000014</v>
      </c>
      <c r="IF86" s="164">
        <v>-365.64037602500002</v>
      </c>
      <c r="IG86" s="164">
        <v>1026.1107919599999</v>
      </c>
      <c r="IH86" s="164">
        <v>184.24045347099985</v>
      </c>
      <c r="II86" s="164">
        <v>-1523.0070610780001</v>
      </c>
      <c r="IJ86" s="164">
        <v>371.33405000500005</v>
      </c>
      <c r="IK86" s="164">
        <v>-91.886324022000025</v>
      </c>
      <c r="IL86" s="164">
        <v>-104.81838329500002</v>
      </c>
      <c r="IM86" s="164">
        <v>186.04631074800002</v>
      </c>
      <c r="IN86" s="164">
        <v>1164.5474922869998</v>
      </c>
      <c r="IO86" s="164">
        <v>-651.47579849600004</v>
      </c>
      <c r="IP86" s="164">
        <v>137.925569731</v>
      </c>
      <c r="IQ86" s="164">
        <v>-148.23701886499998</v>
      </c>
      <c r="IR86" s="164">
        <v>390.71166259100005</v>
      </c>
      <c r="IS86" s="164">
        <v>3862.6130101970002</v>
      </c>
      <c r="IT86" s="159">
        <v>-1589.4222035089999</v>
      </c>
      <c r="IU86" s="159">
        <v>-2169.1278144509997</v>
      </c>
      <c r="IV86" s="159">
        <v>-10.610886925000001</v>
      </c>
      <c r="IW86" s="159">
        <v>1136.2957109650001</v>
      </c>
      <c r="IX86" s="159">
        <v>-144.92893577900003</v>
      </c>
      <c r="IY86" s="159">
        <v>480.85150161499996</v>
      </c>
      <c r="IZ86" s="159">
        <v>485.06880283500004</v>
      </c>
      <c r="JA86" s="159">
        <v>-350.34723871900007</v>
      </c>
      <c r="JB86" s="159">
        <v>308.35336829099998</v>
      </c>
      <c r="JC86" s="159">
        <v>124.12462435400001</v>
      </c>
      <c r="JD86" s="159">
        <v>385.04989166399997</v>
      </c>
      <c r="JE86" s="159">
        <v>-288.18999733700002</v>
      </c>
      <c r="JF86" s="159">
        <v>-365.95643868399986</v>
      </c>
      <c r="JG86" s="159">
        <v>0.2873445299999986</v>
      </c>
      <c r="JH86" s="159">
        <v>-73.79931639900002</v>
      </c>
      <c r="JI86" s="159">
        <v>-89.333788709000004</v>
      </c>
      <c r="JJ86" s="159"/>
      <c r="JK86" s="159"/>
      <c r="JL86" s="159"/>
      <c r="JM86" s="159"/>
      <c r="JN86" s="159"/>
      <c r="JO86" s="159"/>
      <c r="JP86" s="159"/>
      <c r="JQ86" s="159"/>
    </row>
    <row r="87" spans="1:277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4">
        <v>3750.6070309459997</v>
      </c>
      <c r="HK87" s="164">
        <v>110.214787933</v>
      </c>
      <c r="HL87" s="164">
        <v>222.28531900799999</v>
      </c>
      <c r="HM87" s="164">
        <v>286.88828227900001</v>
      </c>
      <c r="HN87" s="164">
        <v>-64.651616682000011</v>
      </c>
      <c r="HO87" s="164">
        <v>469.273562696</v>
      </c>
      <c r="HP87" s="164">
        <v>489.81996497199998</v>
      </c>
      <c r="HQ87" s="164">
        <v>55.150389039999993</v>
      </c>
      <c r="HR87" s="164">
        <v>537.75661373200012</v>
      </c>
      <c r="HS87" s="164">
        <v>604.83511250399988</v>
      </c>
      <c r="HT87" s="164">
        <v>3249.7916518489997</v>
      </c>
      <c r="HU87" s="164">
        <v>1184.1204125890001</v>
      </c>
      <c r="HV87" s="164">
        <v>1414.681057708</v>
      </c>
      <c r="HW87" s="164">
        <v>474.40894844500002</v>
      </c>
      <c r="HX87" s="164">
        <v>366.55637810399998</v>
      </c>
      <c r="HY87" s="164">
        <v>370.98918271200006</v>
      </c>
      <c r="HZ87" s="164">
        <v>1696.7540781529999</v>
      </c>
      <c r="IA87" s="164">
        <v>546.38549441697307</v>
      </c>
      <c r="IB87" s="164">
        <v>205.15337926700002</v>
      </c>
      <c r="IC87" s="164">
        <v>373.07768143399994</v>
      </c>
      <c r="ID87" s="164">
        <v>1626.2569351640002</v>
      </c>
      <c r="IE87" s="164">
        <v>1848.8411218449999</v>
      </c>
      <c r="IF87" s="164">
        <v>152.148153339</v>
      </c>
      <c r="IG87" s="164">
        <v>-788.52030778000005</v>
      </c>
      <c r="IH87" s="164">
        <v>2168.4655381150001</v>
      </c>
      <c r="II87" s="164">
        <v>425.84349059100003</v>
      </c>
      <c r="IJ87" s="164">
        <v>384.45998214999997</v>
      </c>
      <c r="IK87" s="164">
        <v>1182.8853086419999</v>
      </c>
      <c r="IL87" s="164">
        <v>-86.117831869000014</v>
      </c>
      <c r="IM87" s="164">
        <v>13.859882292999998</v>
      </c>
      <c r="IN87" s="164">
        <v>3294.0567751100002</v>
      </c>
      <c r="IO87" s="164">
        <v>116.12289880700001</v>
      </c>
      <c r="IP87" s="164">
        <v>716.35954875499988</v>
      </c>
      <c r="IQ87" s="164">
        <v>635.54646425300007</v>
      </c>
      <c r="IR87" s="164">
        <v>327.13120149300005</v>
      </c>
      <c r="IS87" s="164">
        <v>328.03592314399998</v>
      </c>
      <c r="IT87" s="159">
        <v>67.696110224000009</v>
      </c>
      <c r="IU87" s="159">
        <v>6464.9761844279992</v>
      </c>
      <c r="IV87" s="159">
        <v>-539.18770176299995</v>
      </c>
      <c r="IW87" s="159">
        <v>16.990493262000005</v>
      </c>
      <c r="IX87" s="159">
        <v>1650.6593525689998</v>
      </c>
      <c r="IY87" s="159">
        <v>428.95061992499996</v>
      </c>
      <c r="IZ87" s="159">
        <v>193.13101089599999</v>
      </c>
      <c r="JA87" s="159">
        <v>394.85437866000001</v>
      </c>
      <c r="JB87" s="159">
        <v>-245.43836346300006</v>
      </c>
      <c r="JC87" s="159">
        <v>1546.1038925659998</v>
      </c>
      <c r="JD87" s="159">
        <v>-166.47872230000002</v>
      </c>
      <c r="JE87" s="159">
        <v>692.12700324600007</v>
      </c>
      <c r="JF87" s="159">
        <v>69.104157947000004</v>
      </c>
      <c r="JG87" s="159">
        <v>202.15916386999999</v>
      </c>
      <c r="JH87" s="159">
        <v>6503.4546656139992</v>
      </c>
      <c r="JI87" s="159">
        <v>17.603887111999995</v>
      </c>
      <c r="JJ87" s="159"/>
      <c r="JK87" s="159"/>
      <c r="JL87" s="159"/>
      <c r="JM87" s="159"/>
      <c r="JN87" s="159"/>
      <c r="JO87" s="159"/>
      <c r="JP87" s="159"/>
      <c r="JQ87" s="159"/>
    </row>
    <row r="88" spans="1:277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164"/>
      <c r="IR88" s="164"/>
      <c r="IS88" s="164"/>
      <c r="IT88" s="159"/>
      <c r="IU88" s="159"/>
      <c r="IV88" s="159"/>
      <c r="IW88" s="159"/>
      <c r="IX88" s="159"/>
      <c r="IY88" s="159"/>
      <c r="IZ88" s="159"/>
      <c r="JA88" s="159"/>
      <c r="JB88" s="159"/>
      <c r="JC88" s="159"/>
      <c r="JD88" s="159"/>
      <c r="JE88" s="159"/>
      <c r="JF88" s="159"/>
      <c r="JG88" s="159"/>
      <c r="JH88" s="159"/>
      <c r="JI88" s="159"/>
      <c r="JJ88" s="159"/>
      <c r="JK88" s="159"/>
      <c r="JL88" s="159"/>
      <c r="JM88" s="159"/>
      <c r="JN88" s="159"/>
      <c r="JO88" s="159"/>
      <c r="JP88" s="159"/>
      <c r="JQ88" s="159"/>
    </row>
    <row r="89" spans="1:277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4">
        <v>554.91924740500008</v>
      </c>
      <c r="HK89" s="164">
        <v>-81.689492579999978</v>
      </c>
      <c r="HL89" s="164">
        <v>235.50748527500002</v>
      </c>
      <c r="HM89" s="164">
        <v>142.80615148699999</v>
      </c>
      <c r="HN89" s="164">
        <v>-161.59987958799996</v>
      </c>
      <c r="HO89" s="164">
        <v>-119.844778644</v>
      </c>
      <c r="HP89" s="164">
        <v>127.71093465600002</v>
      </c>
      <c r="HQ89" s="164">
        <v>183.09502967300003</v>
      </c>
      <c r="HR89" s="164">
        <v>-63.479468105000002</v>
      </c>
      <c r="HS89" s="164">
        <v>134.07323174999999</v>
      </c>
      <c r="HT89" s="164">
        <v>-54.879315933000001</v>
      </c>
      <c r="HU89" s="164">
        <v>672.82947132000004</v>
      </c>
      <c r="HV89" s="164">
        <v>-1342.065710309</v>
      </c>
      <c r="HW89" s="164">
        <v>357.43823226299992</v>
      </c>
      <c r="HX89" s="164">
        <v>135.651016115</v>
      </c>
      <c r="HY89" s="164">
        <v>-133.369373564</v>
      </c>
      <c r="HZ89" s="164">
        <v>44.717945753000002</v>
      </c>
      <c r="IA89" s="164">
        <v>41.776765588000004</v>
      </c>
      <c r="IB89" s="164">
        <v>572.01518919099999</v>
      </c>
      <c r="IC89" s="164">
        <v>82.426517996000001</v>
      </c>
      <c r="ID89" s="164">
        <v>-37.658358093000004</v>
      </c>
      <c r="IE89" s="164">
        <v>181.16541122999999</v>
      </c>
      <c r="IF89" s="164">
        <v>-365.56636060800002</v>
      </c>
      <c r="IG89" s="164">
        <v>1201.5641440219999</v>
      </c>
      <c r="IH89" s="164">
        <v>262.28053812300004</v>
      </c>
      <c r="II89" s="164">
        <v>-1674.1639874079999</v>
      </c>
      <c r="IJ89" s="164">
        <v>304.22217989700005</v>
      </c>
      <c r="IK89" s="164">
        <v>-173.73975221100002</v>
      </c>
      <c r="IL89" s="164">
        <v>-140.519369318</v>
      </c>
      <c r="IM89" s="164">
        <v>-191.80422299899999</v>
      </c>
      <c r="IN89" s="164">
        <v>1188.15267423</v>
      </c>
      <c r="IO89" s="164">
        <v>-688.80243422900003</v>
      </c>
      <c r="IP89" s="164">
        <v>152.54492323599999</v>
      </c>
      <c r="IQ89" s="164">
        <v>318.24182003200002</v>
      </c>
      <c r="IR89" s="164">
        <v>402.69668003500004</v>
      </c>
      <c r="IS89" s="164">
        <v>2530.1702743210003</v>
      </c>
      <c r="IT89" s="159">
        <v>-1589.4222035089999</v>
      </c>
      <c r="IU89" s="159">
        <v>-2152.4696421599997</v>
      </c>
      <c r="IV89" s="159">
        <v>-10.534886925</v>
      </c>
      <c r="IW89" s="159">
        <v>251.21471096499999</v>
      </c>
      <c r="IX89" s="159">
        <v>-118.41265638</v>
      </c>
      <c r="IY89" s="159">
        <v>187.35150161499999</v>
      </c>
      <c r="IZ89" s="159">
        <v>498.60040018199999</v>
      </c>
      <c r="JA89" s="159">
        <v>-332.959770107</v>
      </c>
      <c r="JB89" s="159">
        <v>86.605489255999998</v>
      </c>
      <c r="JC89" s="159">
        <v>125.33306672400001</v>
      </c>
      <c r="JD89" s="159">
        <v>385.06078254400001</v>
      </c>
      <c r="JE89" s="159">
        <v>-347.11157996200001</v>
      </c>
      <c r="JF89" s="159">
        <v>-365.94550166499994</v>
      </c>
      <c r="JG89" s="159">
        <v>18.373872838</v>
      </c>
      <c r="JH89" s="159">
        <v>-335.75195729300003</v>
      </c>
      <c r="JI89" s="159">
        <v>-88.840918743000003</v>
      </c>
      <c r="JJ89" s="159"/>
      <c r="JK89" s="159"/>
      <c r="JL89" s="159"/>
      <c r="JM89" s="159"/>
      <c r="JN89" s="159"/>
      <c r="JO89" s="159"/>
      <c r="JP89" s="159"/>
      <c r="JQ89" s="159"/>
    </row>
    <row r="90" spans="1:277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4">
        <v>822.35032837400001</v>
      </c>
      <c r="HK90" s="164">
        <v>372.12589246100003</v>
      </c>
      <c r="HL90" s="164">
        <v>260.90915541100003</v>
      </c>
      <c r="HM90" s="164">
        <v>159.27805819599999</v>
      </c>
      <c r="HN90" s="164">
        <v>-145.11117287899998</v>
      </c>
      <c r="HO90" s="164">
        <v>-101.87294301200001</v>
      </c>
      <c r="HP90" s="164">
        <v>144.94764362700002</v>
      </c>
      <c r="HQ90" s="164">
        <v>200.24168864400002</v>
      </c>
      <c r="HR90" s="164">
        <v>-46.332809134000001</v>
      </c>
      <c r="HS90" s="164">
        <v>165.698664888</v>
      </c>
      <c r="HT90" s="164">
        <v>-17.824839433000001</v>
      </c>
      <c r="HU90" s="164">
        <v>851.63930425800004</v>
      </c>
      <c r="HV90" s="164">
        <v>986.26709684999992</v>
      </c>
      <c r="HW90" s="164">
        <v>589.62574898799994</v>
      </c>
      <c r="HX90" s="164">
        <v>135.651016115</v>
      </c>
      <c r="HY90" s="164">
        <v>-133.369373564</v>
      </c>
      <c r="HZ90" s="164">
        <v>44.717945753000002</v>
      </c>
      <c r="IA90" s="164">
        <v>41.776765588000004</v>
      </c>
      <c r="IB90" s="164">
        <v>572.01518919099999</v>
      </c>
      <c r="IC90" s="164">
        <v>82.426517996000001</v>
      </c>
      <c r="ID90" s="164">
        <v>-37.658358093000004</v>
      </c>
      <c r="IE90" s="164">
        <v>181.16541122999999</v>
      </c>
      <c r="IF90" s="164">
        <v>-365.56636060800002</v>
      </c>
      <c r="IG90" s="164">
        <v>1201.5641440219999</v>
      </c>
      <c r="IH90" s="164">
        <v>1737.4103849140001</v>
      </c>
      <c r="II90" s="164">
        <v>127.72003228600001</v>
      </c>
      <c r="IJ90" s="164">
        <v>304.22217989700005</v>
      </c>
      <c r="IK90" s="164">
        <v>-173.73975221100002</v>
      </c>
      <c r="IL90" s="164">
        <v>-140.519369318</v>
      </c>
      <c r="IM90" s="164">
        <v>-191.80422299899999</v>
      </c>
      <c r="IN90" s="164">
        <v>1188.15267423</v>
      </c>
      <c r="IO90" s="164">
        <v>-688.80243422900003</v>
      </c>
      <c r="IP90" s="164">
        <v>152.54492323599999</v>
      </c>
      <c r="IQ90" s="164">
        <v>318.24182003200002</v>
      </c>
      <c r="IR90" s="164">
        <v>402.69668003500004</v>
      </c>
      <c r="IS90" s="164">
        <v>2530.1702743210003</v>
      </c>
      <c r="IT90" s="159">
        <v>936.29007372399997</v>
      </c>
      <c r="IU90" s="159">
        <v>806.44533820600009</v>
      </c>
      <c r="IV90" s="159">
        <v>-10.534886925</v>
      </c>
      <c r="IW90" s="159">
        <v>251.21471096499999</v>
      </c>
      <c r="IX90" s="159">
        <v>-118.41265638</v>
      </c>
      <c r="IY90" s="159">
        <v>187.35150161499999</v>
      </c>
      <c r="IZ90" s="159">
        <v>498.60040018199999</v>
      </c>
      <c r="JA90" s="159">
        <v>-332.959770107</v>
      </c>
      <c r="JB90" s="159">
        <v>86.605489255999998</v>
      </c>
      <c r="JC90" s="159">
        <v>125.33306672400001</v>
      </c>
      <c r="JD90" s="159">
        <v>385.06078254400001</v>
      </c>
      <c r="JE90" s="159">
        <v>-347.11157996200001</v>
      </c>
      <c r="JF90" s="159">
        <v>2011.6866264929999</v>
      </c>
      <c r="JG90" s="159">
        <v>18.373872838</v>
      </c>
      <c r="JH90" s="159">
        <v>-335.75195729300003</v>
      </c>
      <c r="JI90" s="159">
        <v>-88.840918743000003</v>
      </c>
      <c r="JJ90" s="159"/>
      <c r="JK90" s="159"/>
      <c r="JL90" s="159"/>
      <c r="JM90" s="159"/>
      <c r="JN90" s="159"/>
      <c r="JO90" s="159"/>
      <c r="JP90" s="159"/>
      <c r="JQ90" s="159"/>
    </row>
    <row r="91" spans="1:277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4">
        <v>267.43108096899999</v>
      </c>
      <c r="HK91" s="164">
        <v>453.81538504100001</v>
      </c>
      <c r="HL91" s="164">
        <v>25.401670136</v>
      </c>
      <c r="HM91" s="164">
        <v>16.471906708999999</v>
      </c>
      <c r="HN91" s="164">
        <v>16.488706708999999</v>
      </c>
      <c r="HO91" s="164">
        <v>17.971835631999998</v>
      </c>
      <c r="HP91" s="164">
        <v>17.236708970999999</v>
      </c>
      <c r="HQ91" s="164">
        <v>17.146658971000001</v>
      </c>
      <c r="HR91" s="164">
        <v>17.146658971000001</v>
      </c>
      <c r="HS91" s="164">
        <v>31.625433138000002</v>
      </c>
      <c r="HT91" s="164">
        <v>37.0544765</v>
      </c>
      <c r="HU91" s="164">
        <v>178.80983293799997</v>
      </c>
      <c r="HV91" s="164">
        <v>2328.3328071589999</v>
      </c>
      <c r="HW91" s="164">
        <v>232.18751672499999</v>
      </c>
      <c r="HX91" s="164">
        <v>0</v>
      </c>
      <c r="HY91" s="164">
        <v>0</v>
      </c>
      <c r="HZ91" s="164">
        <v>0</v>
      </c>
      <c r="IA91" s="164">
        <v>0</v>
      </c>
      <c r="IB91" s="164">
        <v>0</v>
      </c>
      <c r="IC91" s="164">
        <v>0</v>
      </c>
      <c r="ID91" s="164">
        <v>0</v>
      </c>
      <c r="IE91" s="164">
        <v>0</v>
      </c>
      <c r="IF91" s="164">
        <v>0</v>
      </c>
      <c r="IG91" s="164">
        <v>0</v>
      </c>
      <c r="IH91" s="164">
        <v>1475.1298467910001</v>
      </c>
      <c r="II91" s="164">
        <v>1801.884019694</v>
      </c>
      <c r="IJ91" s="164">
        <v>0</v>
      </c>
      <c r="IK91" s="164">
        <v>0</v>
      </c>
      <c r="IL91" s="164">
        <v>0</v>
      </c>
      <c r="IM91" s="164">
        <v>0</v>
      </c>
      <c r="IN91" s="164">
        <v>0</v>
      </c>
      <c r="IO91" s="164">
        <v>0</v>
      </c>
      <c r="IP91" s="164">
        <v>0</v>
      </c>
      <c r="IQ91" s="164">
        <v>0</v>
      </c>
      <c r="IR91" s="164">
        <v>0</v>
      </c>
      <c r="IS91" s="164">
        <v>0</v>
      </c>
      <c r="IT91" s="159">
        <v>2525.7122772329999</v>
      </c>
      <c r="IU91" s="159">
        <v>2958.9149803659998</v>
      </c>
      <c r="IV91" s="159">
        <v>0</v>
      </c>
      <c r="IW91" s="159">
        <v>0</v>
      </c>
      <c r="IX91" s="159">
        <v>0</v>
      </c>
      <c r="IY91" s="159">
        <v>0</v>
      </c>
      <c r="IZ91" s="159">
        <v>0</v>
      </c>
      <c r="JA91" s="159">
        <v>0</v>
      </c>
      <c r="JB91" s="159">
        <v>0</v>
      </c>
      <c r="JC91" s="159">
        <v>0</v>
      </c>
      <c r="JD91" s="159">
        <v>0</v>
      </c>
      <c r="JE91" s="159">
        <v>0</v>
      </c>
      <c r="JF91" s="159">
        <v>2377.6321281579999</v>
      </c>
      <c r="JG91" s="159">
        <v>0</v>
      </c>
      <c r="JH91" s="159">
        <v>0</v>
      </c>
      <c r="JI91" s="159">
        <v>0</v>
      </c>
      <c r="JJ91" s="159"/>
      <c r="JK91" s="159"/>
      <c r="JL91" s="159"/>
      <c r="JM91" s="159"/>
      <c r="JN91" s="159"/>
      <c r="JO91" s="159"/>
      <c r="JP91" s="159"/>
      <c r="JQ91" s="159"/>
    </row>
    <row r="92" spans="1:277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164"/>
      <c r="IG92" s="164"/>
      <c r="IH92" s="164"/>
      <c r="II92" s="164"/>
      <c r="IJ92" s="164"/>
      <c r="IK92" s="164"/>
      <c r="IL92" s="164"/>
      <c r="IM92" s="164"/>
      <c r="IN92" s="164"/>
      <c r="IO92" s="164"/>
      <c r="IP92" s="164"/>
      <c r="IQ92" s="164"/>
      <c r="IR92" s="164"/>
      <c r="IS92" s="164"/>
      <c r="IT92" s="159"/>
      <c r="IU92" s="159"/>
      <c r="IV92" s="159"/>
      <c r="IW92" s="159"/>
      <c r="IX92" s="159"/>
      <c r="IY92" s="159"/>
      <c r="IZ92" s="159"/>
      <c r="JA92" s="159"/>
      <c r="JB92" s="159"/>
      <c r="JC92" s="159"/>
      <c r="JD92" s="159"/>
      <c r="JE92" s="159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</row>
    <row r="93" spans="1:277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4">
        <v>3433.8951257264794</v>
      </c>
      <c r="HK93" s="164">
        <v>-440.25021083215199</v>
      </c>
      <c r="HL93" s="164">
        <v>-1365.5765090262776</v>
      </c>
      <c r="HM93" s="164">
        <v>626.25425015708913</v>
      </c>
      <c r="HN93" s="164">
        <v>64.756355601629963</v>
      </c>
      <c r="HO93" s="164">
        <v>205.58172745113569</v>
      </c>
      <c r="HP93" s="164">
        <v>189.26097856154945</v>
      </c>
      <c r="HQ93" s="164">
        <v>-1198.2209410146645</v>
      </c>
      <c r="HR93" s="164">
        <v>-879.10302736273093</v>
      </c>
      <c r="HS93" s="164">
        <v>371.66950920663663</v>
      </c>
      <c r="HT93" s="164">
        <v>1748.6344477557814</v>
      </c>
      <c r="HU93" s="164">
        <v>-2366.7857926266497</v>
      </c>
      <c r="HV93" s="164">
        <v>1030.5354381443881</v>
      </c>
      <c r="HW93" s="164">
        <v>985.90775850551017</v>
      </c>
      <c r="HX93" s="164">
        <v>-1074.9725042965702</v>
      </c>
      <c r="HY93" s="164">
        <v>186.08550688797482</v>
      </c>
      <c r="HZ93" s="164">
        <v>2020.388411696184</v>
      </c>
      <c r="IA93" s="164">
        <v>-327.53974793110064</v>
      </c>
      <c r="IB93" s="164">
        <v>46.684215402668777</v>
      </c>
      <c r="IC93" s="164">
        <v>-650.47427473103596</v>
      </c>
      <c r="ID93" s="164">
        <v>788.51952395756803</v>
      </c>
      <c r="IE93" s="164">
        <v>1462.8463502967204</v>
      </c>
      <c r="IF93" s="164">
        <v>-1399.214401017369</v>
      </c>
      <c r="IG93" s="164">
        <v>-2318.042662246457</v>
      </c>
      <c r="IH93" s="164">
        <v>48.518712258724221</v>
      </c>
      <c r="II93" s="164">
        <v>-566.00161425590329</v>
      </c>
      <c r="IJ93" s="164">
        <v>-814.31137424111523</v>
      </c>
      <c r="IK93" s="164">
        <v>360.23016515168911</v>
      </c>
      <c r="IL93" s="164">
        <v>-263.03014650800338</v>
      </c>
      <c r="IM93" s="164">
        <v>164.82111755220149</v>
      </c>
      <c r="IN93" s="164">
        <v>3833.8578899617437</v>
      </c>
      <c r="IO93" s="164">
        <v>-1367.9020873030208</v>
      </c>
      <c r="IP93" s="164">
        <v>261.61395385301779</v>
      </c>
      <c r="IQ93" s="164">
        <v>-287.67342744965299</v>
      </c>
      <c r="IR93" s="164">
        <v>-943.74033632183114</v>
      </c>
      <c r="IS93" s="164">
        <v>-1382.3750731037239</v>
      </c>
      <c r="IT93" s="159">
        <v>-1021.2128286451368</v>
      </c>
      <c r="IU93" s="159">
        <v>6415.3698881189448</v>
      </c>
      <c r="IV93" s="159">
        <v>-2779.1760796167996</v>
      </c>
      <c r="IW93" s="159">
        <v>1001.2231447584336</v>
      </c>
      <c r="IX93" s="159">
        <v>1492.8002479745101</v>
      </c>
      <c r="IY93" s="159">
        <v>1154.5796204132857</v>
      </c>
      <c r="IZ93" s="159">
        <v>-311.73213025844404</v>
      </c>
      <c r="JA93" s="159">
        <v>-1523.606029334519</v>
      </c>
      <c r="JB93" s="159">
        <v>-1128.0997898896512</v>
      </c>
      <c r="JC93" s="159">
        <v>533.37199883351843</v>
      </c>
      <c r="JD93" s="159">
        <v>-1150.0463444471986</v>
      </c>
      <c r="JE93" s="159">
        <v>-2743.0972073539897</v>
      </c>
      <c r="JF93" s="159">
        <v>320.34710671085816</v>
      </c>
      <c r="JG93" s="159">
        <v>1077.6708439166753</v>
      </c>
      <c r="JH93" s="159">
        <v>4621.5261457257866</v>
      </c>
      <c r="JI93" s="159">
        <v>0</v>
      </c>
      <c r="JJ93" s="159"/>
      <c r="JK93" s="159"/>
      <c r="JL93" s="159"/>
      <c r="JM93" s="159"/>
      <c r="JN93" s="159"/>
      <c r="JO93" s="159"/>
      <c r="JP93" s="159"/>
      <c r="JQ93" s="159"/>
    </row>
    <row r="94" spans="1:277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4">
        <v>3433.8951257264794</v>
      </c>
      <c r="HK94" s="164">
        <v>-440.25021083215199</v>
      </c>
      <c r="HL94" s="164">
        <v>-1365.5765090262776</v>
      </c>
      <c r="HM94" s="164">
        <v>626.25425015708913</v>
      </c>
      <c r="HN94" s="164">
        <v>64.756355601629963</v>
      </c>
      <c r="HO94" s="164">
        <v>205.58172745113569</v>
      </c>
      <c r="HP94" s="164">
        <v>189.26097856154945</v>
      </c>
      <c r="HQ94" s="164">
        <v>-1198.2209410146645</v>
      </c>
      <c r="HR94" s="164">
        <v>-879.10302736273093</v>
      </c>
      <c r="HS94" s="164">
        <v>371.66950920663663</v>
      </c>
      <c r="HT94" s="164">
        <v>1748.6344477557814</v>
      </c>
      <c r="HU94" s="164">
        <v>-2366.7857926266497</v>
      </c>
      <c r="HV94" s="164">
        <v>1030.5354381443881</v>
      </c>
      <c r="HW94" s="164">
        <v>985.90775850551017</v>
      </c>
      <c r="HX94" s="164">
        <v>-1074.9725042965702</v>
      </c>
      <c r="HY94" s="164">
        <v>186.08550688797482</v>
      </c>
      <c r="HZ94" s="164">
        <v>2020.388411696184</v>
      </c>
      <c r="IA94" s="164">
        <v>-327.53974793110064</v>
      </c>
      <c r="IB94" s="164">
        <v>46.684215402668777</v>
      </c>
      <c r="IC94" s="164">
        <v>-650.47427473103596</v>
      </c>
      <c r="ID94" s="164">
        <v>788.51952395756803</v>
      </c>
      <c r="IE94" s="164">
        <v>1462.8463502967204</v>
      </c>
      <c r="IF94" s="164">
        <v>-1399.214401017369</v>
      </c>
      <c r="IG94" s="164">
        <v>-2318.042662246457</v>
      </c>
      <c r="IH94" s="164">
        <v>48.518712258724221</v>
      </c>
      <c r="II94" s="164">
        <v>-566.00161425590329</v>
      </c>
      <c r="IJ94" s="164">
        <v>-814.31137424111523</v>
      </c>
      <c r="IK94" s="164">
        <v>360.23016515168911</v>
      </c>
      <c r="IL94" s="164">
        <v>-263.03014650800338</v>
      </c>
      <c r="IM94" s="164">
        <v>164.82111755220149</v>
      </c>
      <c r="IN94" s="164">
        <v>3833.8578899617437</v>
      </c>
      <c r="IO94" s="164">
        <v>-1367.9020873030208</v>
      </c>
      <c r="IP94" s="164">
        <v>261.61395385301779</v>
      </c>
      <c r="IQ94" s="164">
        <v>-287.67342744965299</v>
      </c>
      <c r="IR94" s="164">
        <v>-943.74033632183114</v>
      </c>
      <c r="IS94" s="164">
        <v>-1382.3750731037239</v>
      </c>
      <c r="IT94" s="159">
        <v>-1021.2128286451368</v>
      </c>
      <c r="IU94" s="159">
        <v>6415.3698881189448</v>
      </c>
      <c r="IV94" s="159">
        <v>-2779.1760796167996</v>
      </c>
      <c r="IW94" s="159">
        <v>1001.2231447584336</v>
      </c>
      <c r="IX94" s="159">
        <v>1492.8002479745101</v>
      </c>
      <c r="IY94" s="159">
        <v>1154.5796204132857</v>
      </c>
      <c r="IZ94" s="159">
        <v>-311.73213025844404</v>
      </c>
      <c r="JA94" s="159">
        <v>-1523.606029334519</v>
      </c>
      <c r="JB94" s="159">
        <v>-1128.0997898896512</v>
      </c>
      <c r="JC94" s="159">
        <v>533.37199883351843</v>
      </c>
      <c r="JD94" s="159">
        <v>-1150.0463444471986</v>
      </c>
      <c r="JE94" s="159">
        <v>-2743.0972073539897</v>
      </c>
      <c r="JF94" s="159">
        <v>320.34710671085816</v>
      </c>
      <c r="JG94" s="159">
        <v>1077.6708439166753</v>
      </c>
      <c r="JH94" s="159">
        <v>4621.5261457257866</v>
      </c>
      <c r="JI94" s="159">
        <v>0</v>
      </c>
      <c r="JJ94" s="159"/>
      <c r="JK94" s="159"/>
      <c r="JL94" s="159"/>
      <c r="JM94" s="159"/>
      <c r="JN94" s="159"/>
      <c r="JO94" s="159"/>
      <c r="JP94" s="159"/>
      <c r="JQ94" s="159"/>
    </row>
    <row r="95" spans="1:277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64"/>
      <c r="IM95" s="164"/>
      <c r="IN95" s="164"/>
      <c r="IO95" s="164"/>
      <c r="IP95" s="164"/>
      <c r="IQ95" s="164"/>
      <c r="IR95" s="164"/>
      <c r="IS95" s="164"/>
      <c r="IT95" s="159"/>
      <c r="IU95" s="159"/>
      <c r="IV95" s="159"/>
      <c r="IW95" s="159"/>
      <c r="IX95" s="159"/>
      <c r="IY95" s="159"/>
      <c r="IZ95" s="159"/>
      <c r="JA95" s="159"/>
      <c r="JB95" s="159"/>
      <c r="JC95" s="159"/>
      <c r="JD95" s="159"/>
      <c r="JE95" s="159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</row>
    <row r="96" spans="1:277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4">
        <v>1733.9195702505208</v>
      </c>
      <c r="HK96" s="164">
        <v>413.7793460851525</v>
      </c>
      <c r="HL96" s="164">
        <v>756.7178617992779</v>
      </c>
      <c r="HM96" s="164">
        <v>-531.86118927008897</v>
      </c>
      <c r="HN96" s="164">
        <v>-255.89022978062877</v>
      </c>
      <c r="HO96" s="164">
        <v>-65.921834517135494</v>
      </c>
      <c r="HP96" s="164">
        <v>-15.020396506549446</v>
      </c>
      <c r="HQ96" s="164">
        <v>387.97020380466455</v>
      </c>
      <c r="HR96" s="164">
        <v>226.9299582357304</v>
      </c>
      <c r="HS96" s="164">
        <v>-795.4543156576367</v>
      </c>
      <c r="HT96" s="164">
        <v>565.95476095721801</v>
      </c>
      <c r="HU96" s="164">
        <v>-449.06298196935086</v>
      </c>
      <c r="HV96" s="164">
        <v>-626.18356866138834</v>
      </c>
      <c r="HW96" s="164">
        <v>-1034.9046408815097</v>
      </c>
      <c r="HX96" s="164">
        <v>142.90850211957064</v>
      </c>
      <c r="HY96" s="164">
        <v>178.52491760302544</v>
      </c>
      <c r="HZ96" s="164">
        <v>237.24035652481552</v>
      </c>
      <c r="IA96" s="164">
        <v>180.77204934009995</v>
      </c>
      <c r="IB96" s="164">
        <v>224.39395651333001</v>
      </c>
      <c r="IC96" s="164">
        <v>-1.4335344449644936</v>
      </c>
      <c r="ID96" s="164">
        <v>49.325512994432074</v>
      </c>
      <c r="IE96" s="164">
        <v>-814.67075902672036</v>
      </c>
      <c r="IF96" s="164">
        <v>112.43334846436912</v>
      </c>
      <c r="IG96" s="164">
        <v>-676.71522229154505</v>
      </c>
      <c r="IH96" s="164">
        <v>2004.7665516992763</v>
      </c>
      <c r="II96" s="164">
        <v>-1550.8970604390965</v>
      </c>
      <c r="IJ96" s="164">
        <v>253.37200111611514</v>
      </c>
      <c r="IK96" s="164">
        <v>-83.981332067689209</v>
      </c>
      <c r="IL96" s="164">
        <v>226.71852073000264</v>
      </c>
      <c r="IM96" s="164">
        <v>-124.55651461820068</v>
      </c>
      <c r="IN96" s="164">
        <v>53.175745907255987</v>
      </c>
      <c r="IO96" s="164">
        <v>202.49430154002061</v>
      </c>
      <c r="IP96" s="164">
        <v>-128.25959635101731</v>
      </c>
      <c r="IQ96" s="164">
        <v>-99.260024751347373</v>
      </c>
      <c r="IR96" s="164">
        <v>531.60720363283133</v>
      </c>
      <c r="IS96" s="164">
        <v>-301.40808634427685</v>
      </c>
      <c r="IT96" s="159">
        <v>465.54789830713707</v>
      </c>
      <c r="IU96" s="159">
        <v>-3171.6559564269446</v>
      </c>
      <c r="IV96" s="159">
        <v>61.818634406799561</v>
      </c>
      <c r="IW96" s="159">
        <v>631.01380486456605</v>
      </c>
      <c r="IX96" s="159">
        <v>621.00789356549012</v>
      </c>
      <c r="IY96" s="159">
        <v>-366.00118824228593</v>
      </c>
      <c r="IZ96" s="159">
        <v>548.59236463144475</v>
      </c>
      <c r="JA96" s="159">
        <v>74.733617752518796</v>
      </c>
      <c r="JB96" s="159">
        <v>568.90512241065255</v>
      </c>
      <c r="JC96" s="159">
        <v>352.36923747947981</v>
      </c>
      <c r="JD96" s="159">
        <v>-239.53906715880214</v>
      </c>
      <c r="JE96" s="159">
        <v>780.36777351098851</v>
      </c>
      <c r="JF96" s="159">
        <v>-845.75955013985811</v>
      </c>
      <c r="JG96" s="159">
        <v>-2014.7110664606753</v>
      </c>
      <c r="JH96" s="159">
        <v>61.66304076121196</v>
      </c>
      <c r="JI96" s="159">
        <v>660.36675029399964</v>
      </c>
      <c r="JJ96" s="159"/>
      <c r="JK96" s="159"/>
      <c r="JL96" s="159"/>
      <c r="JM96" s="159"/>
      <c r="JN96" s="159"/>
      <c r="JO96" s="159"/>
      <c r="JP96" s="159"/>
      <c r="JQ96" s="159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/>
      <c r="DR102" s="218"/>
      <c r="DS102" s="218"/>
      <c r="DT102" s="218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/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  <c r="FL102" s="218"/>
      <c r="FM102" s="218"/>
      <c r="FN102" s="218"/>
      <c r="FO102" s="218"/>
      <c r="FP102" s="218"/>
      <c r="FQ102" s="218"/>
      <c r="FR102" s="218"/>
      <c r="FS102" s="218"/>
      <c r="FT102" s="218"/>
      <c r="FU102" s="218"/>
      <c r="FV102" s="218"/>
      <c r="FW102" s="218"/>
      <c r="FX102" s="218"/>
      <c r="FY102" s="218"/>
      <c r="FZ102" s="218"/>
      <c r="GA102" s="218"/>
      <c r="GB102" s="218"/>
      <c r="GC102" s="218"/>
      <c r="GD102" s="218"/>
      <c r="GE102" s="218"/>
      <c r="GF102" s="218"/>
      <c r="GG102" s="218"/>
      <c r="GH102" s="218"/>
      <c r="GI102" s="218"/>
      <c r="GJ102" s="218"/>
      <c r="GK102" s="218"/>
      <c r="GL102" s="218"/>
      <c r="GM102" s="218"/>
      <c r="GN102" s="218"/>
      <c r="GO102" s="218"/>
      <c r="GP102" s="218"/>
      <c r="GQ102" s="218"/>
      <c r="GR102" s="218"/>
      <c r="GS102" s="218"/>
      <c r="GT102" s="218"/>
      <c r="GU102" s="218"/>
      <c r="GV102" s="218"/>
      <c r="GW102" s="218"/>
      <c r="GX102" s="218"/>
      <c r="GY102" s="218"/>
      <c r="GZ102" s="218"/>
      <c r="HA102" s="218"/>
      <c r="HB102" s="218"/>
      <c r="HC102" s="218"/>
      <c r="HD102" s="218"/>
      <c r="HE102" s="218"/>
      <c r="HF102" s="218"/>
      <c r="HG102" s="218"/>
      <c r="HH102" s="218"/>
      <c r="HI102" s="218"/>
      <c r="HJ102" s="218"/>
      <c r="HK102" s="218"/>
      <c r="HL102" s="218"/>
      <c r="HM102" s="218"/>
      <c r="HN102" s="218"/>
      <c r="HO102" s="218"/>
      <c r="HP102" s="218"/>
      <c r="HQ102" s="218"/>
      <c r="HR102" s="218"/>
      <c r="HS102" s="218"/>
      <c r="HT102" s="218"/>
      <c r="HU102" s="218"/>
      <c r="HV102" s="218"/>
      <c r="HW102" s="218"/>
      <c r="HX102" s="218"/>
      <c r="HY102" s="218"/>
      <c r="HZ102" s="218"/>
      <c r="IA102" s="218"/>
      <c r="IB102" s="218"/>
      <c r="IC102" s="218"/>
      <c r="ID102" s="218"/>
      <c r="IE102" s="218"/>
      <c r="IF102" s="218"/>
      <c r="IG102" s="218"/>
      <c r="IH102" s="218"/>
      <c r="II102" s="218"/>
      <c r="IJ102" s="218"/>
      <c r="IK102" s="218"/>
      <c r="IL102" s="218"/>
      <c r="IM102" s="218"/>
      <c r="IN102" s="218"/>
      <c r="IO102" s="218"/>
      <c r="IP102" s="218"/>
      <c r="IQ102" s="218"/>
      <c r="IR102" s="218"/>
      <c r="IS102" s="218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workbookViewId="0">
      <selection activeCell="X16" sqref="X16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8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4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175</v>
      </c>
    </row>
    <row r="3" spans="1:24" x14ac:dyDescent="0.25">
      <c r="A3" s="58">
        <v>1</v>
      </c>
      <c r="B3" s="59" t="s">
        <v>71</v>
      </c>
      <c r="D3" s="60">
        <v>2003</v>
      </c>
      <c r="E3" s="195">
        <v>49411.959699781924</v>
      </c>
      <c r="G3" s="60">
        <f>YEAR(H3)</f>
        <v>2003</v>
      </c>
      <c r="H3" s="223">
        <v>37622</v>
      </c>
      <c r="I3" s="61">
        <v>7088.75</v>
      </c>
      <c r="K3">
        <v>2021</v>
      </c>
      <c r="L3" s="156" t="s">
        <v>203</v>
      </c>
      <c r="M3" t="s">
        <v>74</v>
      </c>
      <c r="N3" s="65">
        <v>6410.7487500000007</v>
      </c>
      <c r="T3" s="65"/>
      <c r="V3" s="65"/>
    </row>
    <row r="4" spans="1:24" x14ac:dyDescent="0.25">
      <c r="A4" s="58">
        <v>2</v>
      </c>
      <c r="B4" s="59" t="s">
        <v>72</v>
      </c>
      <c r="D4" s="60">
        <v>2004</v>
      </c>
      <c r="E4" s="195">
        <v>57501.991731711008</v>
      </c>
      <c r="G4" s="60">
        <f t="shared" ref="G4:G67" si="0">YEAR(H4)</f>
        <v>2003</v>
      </c>
      <c r="H4" s="223">
        <v>37653</v>
      </c>
      <c r="I4" s="61">
        <v>6942.77</v>
      </c>
      <c r="K4">
        <v>2021</v>
      </c>
      <c r="L4" s="156" t="s">
        <v>202</v>
      </c>
      <c r="M4" t="s">
        <v>73</v>
      </c>
      <c r="N4" s="65">
        <v>6539.7484090909093</v>
      </c>
      <c r="P4" s="157" t="s">
        <v>67</v>
      </c>
      <c r="Q4" s="157" t="s">
        <v>68</v>
      </c>
      <c r="R4" s="157" t="s">
        <v>83</v>
      </c>
      <c r="T4" s="65"/>
      <c r="V4" s="65"/>
      <c r="W4" s="157" t="s">
        <v>209</v>
      </c>
    </row>
    <row r="5" spans="1:24" x14ac:dyDescent="0.25">
      <c r="A5" s="58">
        <v>3</v>
      </c>
      <c r="B5" s="59" t="s">
        <v>73</v>
      </c>
      <c r="D5" s="60">
        <v>2005</v>
      </c>
      <c r="E5" s="195">
        <v>66335.828408449219</v>
      </c>
      <c r="G5" s="60">
        <f t="shared" si="0"/>
        <v>2003</v>
      </c>
      <c r="H5" s="223">
        <v>37681</v>
      </c>
      <c r="I5" s="61">
        <v>6851.04</v>
      </c>
      <c r="K5">
        <v>2021</v>
      </c>
      <c r="L5" s="156" t="s">
        <v>201</v>
      </c>
      <c r="M5" t="s">
        <v>72</v>
      </c>
      <c r="N5" s="65">
        <v>6723.152</v>
      </c>
      <c r="P5" s="158" t="str">
        <f>VLOOKUP(MAX(K3:K100),$K$3:$N$100,2,0)</f>
        <v>abr</v>
      </c>
      <c r="Q5" s="158">
        <f>MAX(K3:K100)</f>
        <v>2025</v>
      </c>
      <c r="R5" s="158" t="str">
        <f>P5&amp;"-"&amp;Q5</f>
        <v>abr-2025</v>
      </c>
      <c r="S5" t="s">
        <v>200</v>
      </c>
      <c r="T5" s="65" t="str">
        <f>VLOOKUP(MAX(K3:K100),$K$3:$N$100,3,0)</f>
        <v>Abril</v>
      </c>
      <c r="U5">
        <f>MAX(K3:K100)</f>
        <v>2025</v>
      </c>
      <c r="V5" s="196" t="str">
        <f>T5&amp;" "&amp;U5</f>
        <v>Abril 2025</v>
      </c>
      <c r="W5" s="158" t="str">
        <f>S5&amp;"-"&amp;P5&amp;" "&amp;Q5</f>
        <v>ene-abr 2025</v>
      </c>
      <c r="X5" t="str">
        <f>R5</f>
        <v>abr-2025</v>
      </c>
    </row>
    <row r="6" spans="1:24" x14ac:dyDescent="0.25">
      <c r="A6" s="58">
        <v>4</v>
      </c>
      <c r="B6" s="59" t="s">
        <v>74</v>
      </c>
      <c r="D6" s="60">
        <v>2006</v>
      </c>
      <c r="E6" s="195">
        <v>75681.657797839813</v>
      </c>
      <c r="G6" s="60">
        <f t="shared" si="0"/>
        <v>2003</v>
      </c>
      <c r="H6" s="223">
        <v>37712</v>
      </c>
      <c r="I6" s="61">
        <v>6855.04</v>
      </c>
      <c r="K6">
        <v>2021</v>
      </c>
      <c r="L6" s="156" t="s">
        <v>200</v>
      </c>
      <c r="M6" t="s">
        <v>71</v>
      </c>
      <c r="N6" s="65">
        <v>6902.8254999999999</v>
      </c>
      <c r="P6" s="158" t="str">
        <f>VLOOKUP(MAX(K3:K100)-1,$K$3:$N$100,2,0)</f>
        <v>abr</v>
      </c>
      <c r="Q6" s="158">
        <f>MAX(K3:K100)-1</f>
        <v>2024</v>
      </c>
      <c r="R6" s="158" t="str">
        <f>P6&amp;"-"&amp;Q6</f>
        <v>abr-2024</v>
      </c>
      <c r="S6" t="s">
        <v>200</v>
      </c>
      <c r="T6" s="65"/>
      <c r="V6" s="65"/>
      <c r="W6" s="158" t="str">
        <f>S6&amp;"-"&amp;P6&amp;" "&amp;Q6</f>
        <v>ene-abr 2024</v>
      </c>
      <c r="X6" t="str">
        <f>R6</f>
        <v>abr-2024</v>
      </c>
    </row>
    <row r="7" spans="1:24" x14ac:dyDescent="0.25">
      <c r="A7" s="58">
        <v>5</v>
      </c>
      <c r="B7" s="59" t="s">
        <v>75</v>
      </c>
      <c r="D7" s="60">
        <v>2007</v>
      </c>
      <c r="E7" s="195">
        <v>89866.048799896729</v>
      </c>
      <c r="G7" s="60">
        <f t="shared" si="0"/>
        <v>2003</v>
      </c>
      <c r="H7" s="223">
        <v>37742</v>
      </c>
      <c r="I7" s="61">
        <v>6462.22</v>
      </c>
      <c r="K7">
        <v>2022</v>
      </c>
      <c r="L7" s="156" t="s">
        <v>203</v>
      </c>
      <c r="M7" t="s">
        <v>74</v>
      </c>
      <c r="N7" s="65">
        <v>6851.9389473684205</v>
      </c>
      <c r="T7" s="65"/>
      <c r="V7" s="65"/>
    </row>
    <row r="8" spans="1:24" x14ac:dyDescent="0.25">
      <c r="A8" s="58">
        <v>6</v>
      </c>
      <c r="B8" s="59" t="s">
        <v>76</v>
      </c>
      <c r="D8" s="60">
        <v>2008</v>
      </c>
      <c r="E8" s="195">
        <v>107403.59062806917</v>
      </c>
      <c r="G8" s="60">
        <f t="shared" si="0"/>
        <v>2003</v>
      </c>
      <c r="H8" s="223">
        <v>37773</v>
      </c>
      <c r="I8" s="61">
        <v>6225.17</v>
      </c>
      <c r="K8">
        <v>2022</v>
      </c>
      <c r="L8" s="156" t="s">
        <v>202</v>
      </c>
      <c r="M8" t="s">
        <v>73</v>
      </c>
      <c r="N8" s="65">
        <v>6962.944130434782</v>
      </c>
      <c r="T8" s="65"/>
      <c r="V8" s="65"/>
    </row>
    <row r="9" spans="1:24" x14ac:dyDescent="0.25">
      <c r="A9" s="58">
        <v>7</v>
      </c>
      <c r="B9" s="59" t="s">
        <v>77</v>
      </c>
      <c r="D9" s="60">
        <v>2009</v>
      </c>
      <c r="E9" s="195">
        <v>111030.93359014504</v>
      </c>
      <c r="G9" s="60">
        <f t="shared" si="0"/>
        <v>2003</v>
      </c>
      <c r="H9" s="223">
        <v>37803</v>
      </c>
      <c r="I9" s="61">
        <v>6010.63</v>
      </c>
      <c r="K9">
        <v>2022</v>
      </c>
      <c r="L9" s="156" t="s">
        <v>201</v>
      </c>
      <c r="M9" t="s">
        <v>72</v>
      </c>
      <c r="N9" s="65">
        <v>6966.1513157894742</v>
      </c>
      <c r="T9" s="65"/>
      <c r="V9" s="65"/>
    </row>
    <row r="10" spans="1:24" x14ac:dyDescent="0.25">
      <c r="A10" s="58">
        <v>8</v>
      </c>
      <c r="B10" s="59" t="s">
        <v>78</v>
      </c>
      <c r="D10" s="60">
        <v>2010</v>
      </c>
      <c r="E10" s="195">
        <v>129092.8834800366</v>
      </c>
      <c r="G10" s="60">
        <f t="shared" si="0"/>
        <v>2003</v>
      </c>
      <c r="H10" s="223">
        <v>37834</v>
      </c>
      <c r="I10" s="61">
        <v>6227.6</v>
      </c>
      <c r="K10">
        <v>2022</v>
      </c>
      <c r="L10" s="156" t="s">
        <v>200</v>
      </c>
      <c r="M10" t="s">
        <v>71</v>
      </c>
      <c r="N10" s="65">
        <v>6986.9590476190479</v>
      </c>
      <c r="T10" s="65"/>
      <c r="V10" s="65"/>
    </row>
    <row r="11" spans="1:24" x14ac:dyDescent="0.25">
      <c r="A11" s="58">
        <v>9</v>
      </c>
      <c r="B11" s="59" t="s">
        <v>79</v>
      </c>
      <c r="D11" s="60">
        <v>2011</v>
      </c>
      <c r="E11" s="195">
        <v>141486.44939257129</v>
      </c>
      <c r="G11" s="60">
        <f t="shared" si="0"/>
        <v>2003</v>
      </c>
      <c r="H11" s="223">
        <v>37865</v>
      </c>
      <c r="I11" s="61">
        <v>6218.07</v>
      </c>
      <c r="K11">
        <v>2023</v>
      </c>
      <c r="L11" s="156" t="s">
        <v>203</v>
      </c>
      <c r="M11" t="s">
        <v>74</v>
      </c>
      <c r="N11" s="65">
        <v>7173.0261111111104</v>
      </c>
      <c r="T11" s="65"/>
      <c r="V11" s="65"/>
    </row>
    <row r="12" spans="1:24" x14ac:dyDescent="0.25">
      <c r="A12" s="58">
        <v>10</v>
      </c>
      <c r="B12" s="59" t="s">
        <v>80</v>
      </c>
      <c r="D12" s="60">
        <v>2012</v>
      </c>
      <c r="E12" s="195">
        <v>147225.50609466466</v>
      </c>
      <c r="G12" s="60">
        <f t="shared" si="0"/>
        <v>2003</v>
      </c>
      <c r="H12" s="223">
        <v>37895</v>
      </c>
      <c r="I12" s="61">
        <v>6206.46</v>
      </c>
      <c r="K12">
        <v>2023</v>
      </c>
      <c r="L12" s="156" t="s">
        <v>202</v>
      </c>
      <c r="M12" t="s">
        <v>73</v>
      </c>
      <c r="N12" s="65">
        <v>7184.7078260869566</v>
      </c>
      <c r="T12" s="65"/>
      <c r="V12" s="65"/>
    </row>
    <row r="13" spans="1:24" x14ac:dyDescent="0.25">
      <c r="A13" s="58">
        <v>11</v>
      </c>
      <c r="B13" s="59" t="s">
        <v>81</v>
      </c>
      <c r="D13" s="60">
        <v>2013</v>
      </c>
      <c r="E13" s="195">
        <v>166350.80510745419</v>
      </c>
      <c r="G13" s="60">
        <f t="shared" si="0"/>
        <v>2003</v>
      </c>
      <c r="H13" s="223">
        <v>37926</v>
      </c>
      <c r="I13" s="61">
        <v>6155.65</v>
      </c>
      <c r="K13">
        <v>2023</v>
      </c>
      <c r="L13" s="156" t="s">
        <v>201</v>
      </c>
      <c r="M13" t="s">
        <v>72</v>
      </c>
      <c r="N13" s="65">
        <v>7292.0576315789476</v>
      </c>
      <c r="T13" s="65"/>
      <c r="V13" s="65"/>
    </row>
    <row r="14" spans="1:24" x14ac:dyDescent="0.25">
      <c r="A14" s="62">
        <v>12</v>
      </c>
      <c r="B14" s="63" t="s">
        <v>82</v>
      </c>
      <c r="D14" s="60">
        <v>2014</v>
      </c>
      <c r="E14" s="195">
        <v>180174.06096624577</v>
      </c>
      <c r="G14" s="60">
        <f t="shared" si="0"/>
        <v>2003</v>
      </c>
      <c r="H14" s="223">
        <v>37956</v>
      </c>
      <c r="I14" s="61">
        <v>5982.66</v>
      </c>
      <c r="K14">
        <v>2023</v>
      </c>
      <c r="L14" s="156" t="s">
        <v>200</v>
      </c>
      <c r="M14" t="s">
        <v>71</v>
      </c>
      <c r="N14" s="65">
        <v>7373.170681818181</v>
      </c>
      <c r="T14" s="65"/>
      <c r="V14" s="65"/>
    </row>
    <row r="15" spans="1:24" x14ac:dyDescent="0.25">
      <c r="D15" s="60">
        <v>2015</v>
      </c>
      <c r="E15" s="195">
        <v>188477.32697742901</v>
      </c>
      <c r="G15" s="60">
        <f t="shared" si="0"/>
        <v>2004</v>
      </c>
      <c r="H15" s="223">
        <v>37987</v>
      </c>
      <c r="I15" s="61">
        <v>6190.4761904761908</v>
      </c>
      <c r="K15">
        <v>2024</v>
      </c>
      <c r="L15" s="156" t="s">
        <v>203</v>
      </c>
      <c r="M15" t="s">
        <v>74</v>
      </c>
      <c r="N15" s="65">
        <v>7405.4070454545454</v>
      </c>
      <c r="T15" s="65"/>
      <c r="V15" s="65"/>
    </row>
    <row r="16" spans="1:24" x14ac:dyDescent="0.25">
      <c r="D16" s="60">
        <v>2016</v>
      </c>
      <c r="E16" s="195">
        <v>204647.27307504832</v>
      </c>
      <c r="G16" s="60">
        <f t="shared" si="0"/>
        <v>2004</v>
      </c>
      <c r="H16" s="223">
        <v>38018</v>
      </c>
      <c r="I16" s="61">
        <v>6038.35</v>
      </c>
      <c r="K16">
        <v>2024</v>
      </c>
      <c r="L16" s="156" t="s">
        <v>202</v>
      </c>
      <c r="M16" t="s">
        <v>73</v>
      </c>
      <c r="N16" s="65">
        <v>7317.5874999999996</v>
      </c>
      <c r="T16" s="65"/>
      <c r="V16" s="65"/>
    </row>
    <row r="17" spans="4:22" x14ac:dyDescent="0.25">
      <c r="D17" s="60">
        <v>2017</v>
      </c>
      <c r="E17" s="195">
        <v>219122.27720283097</v>
      </c>
      <c r="G17" s="60">
        <f t="shared" si="0"/>
        <v>2004</v>
      </c>
      <c r="H17" s="223">
        <v>38047</v>
      </c>
      <c r="I17" s="61">
        <v>5974.636363636364</v>
      </c>
      <c r="K17">
        <v>2024</v>
      </c>
      <c r="L17" s="156" t="s">
        <v>201</v>
      </c>
      <c r="M17" t="s">
        <v>72</v>
      </c>
      <c r="N17" s="65">
        <v>7285.0480952380958</v>
      </c>
      <c r="T17" s="65"/>
      <c r="V17" s="65"/>
    </row>
    <row r="18" spans="4:22" x14ac:dyDescent="0.25">
      <c r="D18" s="60">
        <v>2018</v>
      </c>
      <c r="E18" s="195">
        <v>230576.47747041125</v>
      </c>
      <c r="G18" s="60">
        <f t="shared" si="0"/>
        <v>2004</v>
      </c>
      <c r="H18" s="223">
        <v>38078</v>
      </c>
      <c r="I18" s="61">
        <v>5730.5</v>
      </c>
      <c r="K18">
        <v>2024</v>
      </c>
      <c r="L18" s="156" t="s">
        <v>200</v>
      </c>
      <c r="M18" t="s">
        <v>71</v>
      </c>
      <c r="N18" s="65">
        <v>7282.9988636363632</v>
      </c>
      <c r="T18" s="65"/>
      <c r="V18" s="65"/>
    </row>
    <row r="19" spans="4:22" x14ac:dyDescent="0.25">
      <c r="D19" s="60">
        <v>2019</v>
      </c>
      <c r="E19" s="195">
        <v>236681.49706074136</v>
      </c>
      <c r="G19" s="60">
        <f t="shared" si="0"/>
        <v>2004</v>
      </c>
      <c r="H19" s="223">
        <v>38108</v>
      </c>
      <c r="I19" s="61">
        <v>5756.9047619047615</v>
      </c>
      <c r="K19">
        <v>2025</v>
      </c>
      <c r="L19" s="156" t="s">
        <v>203</v>
      </c>
      <c r="M19" t="s">
        <v>74</v>
      </c>
      <c r="N19" s="65">
        <v>8006.0007500000002</v>
      </c>
      <c r="T19" s="65"/>
      <c r="V19" s="65"/>
    </row>
    <row r="20" spans="4:22" x14ac:dyDescent="0.25">
      <c r="D20" s="60">
        <v>2020</v>
      </c>
      <c r="E20" s="195">
        <v>239914.72879376091</v>
      </c>
      <c r="G20" s="60">
        <f t="shared" si="0"/>
        <v>2004</v>
      </c>
      <c r="H20" s="223">
        <v>38139</v>
      </c>
      <c r="I20" s="61">
        <v>5922.272727272727</v>
      </c>
      <c r="K20">
        <v>2025</v>
      </c>
      <c r="L20" s="156" t="s">
        <v>202</v>
      </c>
      <c r="M20" t="s">
        <v>73</v>
      </c>
      <c r="N20" s="65">
        <v>7962.8940000000002</v>
      </c>
      <c r="S20" s="65"/>
      <c r="T20" s="65"/>
      <c r="V20" s="65"/>
    </row>
    <row r="21" spans="4:22" x14ac:dyDescent="0.25">
      <c r="D21" s="60">
        <v>2021</v>
      </c>
      <c r="E21" s="195">
        <v>270633.89619649464</v>
      </c>
      <c r="G21" s="60">
        <f t="shared" si="0"/>
        <v>2004</v>
      </c>
      <c r="H21" s="223">
        <v>38169</v>
      </c>
      <c r="I21" s="61">
        <v>5903.409090909091</v>
      </c>
      <c r="K21">
        <v>2025</v>
      </c>
      <c r="L21" s="156" t="s">
        <v>201</v>
      </c>
      <c r="M21" t="s">
        <v>72</v>
      </c>
      <c r="N21" s="65">
        <v>7897.4904999999999</v>
      </c>
      <c r="S21" s="65"/>
      <c r="T21" s="65"/>
      <c r="V21" s="65"/>
    </row>
    <row r="22" spans="4:22" x14ac:dyDescent="0.25">
      <c r="D22" s="60">
        <v>2022</v>
      </c>
      <c r="E22" s="195">
        <v>292946.78898127569</v>
      </c>
      <c r="G22" s="60">
        <f t="shared" si="0"/>
        <v>2004</v>
      </c>
      <c r="H22" s="223">
        <v>38200</v>
      </c>
      <c r="I22" s="61">
        <v>5908.818181818182</v>
      </c>
      <c r="K22">
        <v>2025</v>
      </c>
      <c r="L22" s="156" t="s">
        <v>200</v>
      </c>
      <c r="M22" t="s">
        <v>71</v>
      </c>
      <c r="N22" s="65">
        <v>7892.6847727272743</v>
      </c>
      <c r="S22" s="65"/>
      <c r="V22" s="65"/>
    </row>
    <row r="23" spans="4:22" x14ac:dyDescent="0.25">
      <c r="D23" s="60">
        <v>2023</v>
      </c>
      <c r="E23" s="195">
        <v>314281.97280683543</v>
      </c>
      <c r="F23" s="65"/>
      <c r="G23" s="60">
        <f t="shared" si="0"/>
        <v>2004</v>
      </c>
      <c r="H23" s="223">
        <v>38231</v>
      </c>
      <c r="I23" s="61">
        <v>5919.333333333333</v>
      </c>
    </row>
    <row r="24" spans="4:22" x14ac:dyDescent="0.25">
      <c r="D24" s="60">
        <v>2024</v>
      </c>
      <c r="E24" s="195">
        <v>336114.38239807717</v>
      </c>
      <c r="G24" s="60">
        <f t="shared" si="0"/>
        <v>2004</v>
      </c>
      <c r="H24" s="223">
        <v>38261</v>
      </c>
      <c r="I24" s="61">
        <v>5995</v>
      </c>
    </row>
    <row r="25" spans="4:22" x14ac:dyDescent="0.25">
      <c r="D25" s="60">
        <v>2025</v>
      </c>
      <c r="E25" s="195">
        <v>363908.26932766184</v>
      </c>
      <c r="G25" s="60">
        <f t="shared" si="0"/>
        <v>2004</v>
      </c>
      <c r="H25" s="223">
        <v>38292</v>
      </c>
      <c r="I25" s="61">
        <v>6100</v>
      </c>
    </row>
    <row r="26" spans="4:22" x14ac:dyDescent="0.25">
      <c r="F26" s="64"/>
      <c r="G26" s="60">
        <f t="shared" si="0"/>
        <v>2004</v>
      </c>
      <c r="H26" s="223">
        <v>38322</v>
      </c>
      <c r="I26" s="61">
        <v>6185.227272727273</v>
      </c>
      <c r="J26" s="64"/>
    </row>
    <row r="27" spans="4:22" x14ac:dyDescent="0.25">
      <c r="G27" s="60">
        <f t="shared" si="0"/>
        <v>2005</v>
      </c>
      <c r="H27" s="223">
        <v>38353</v>
      </c>
      <c r="I27" s="61">
        <v>6276.666666666667</v>
      </c>
    </row>
    <row r="28" spans="4:22" x14ac:dyDescent="0.25">
      <c r="G28" s="60">
        <f t="shared" si="0"/>
        <v>2005</v>
      </c>
      <c r="H28" s="223">
        <v>38384</v>
      </c>
      <c r="I28" s="61">
        <v>6311</v>
      </c>
    </row>
    <row r="29" spans="4:22" x14ac:dyDescent="0.25">
      <c r="G29" s="60">
        <f t="shared" si="0"/>
        <v>2005</v>
      </c>
      <c r="H29" s="223">
        <v>38412</v>
      </c>
      <c r="I29" s="61">
        <v>6262.25</v>
      </c>
    </row>
    <row r="30" spans="4:22" x14ac:dyDescent="0.25">
      <c r="G30" s="60">
        <f t="shared" si="0"/>
        <v>2005</v>
      </c>
      <c r="H30" s="223">
        <v>38443</v>
      </c>
      <c r="I30" s="61">
        <v>6267.75</v>
      </c>
    </row>
    <row r="31" spans="4:22" x14ac:dyDescent="0.25">
      <c r="G31" s="60">
        <f t="shared" si="0"/>
        <v>2005</v>
      </c>
      <c r="H31" s="223">
        <v>38473</v>
      </c>
      <c r="I31" s="61">
        <v>6242.727272727273</v>
      </c>
    </row>
    <row r="32" spans="4:22" x14ac:dyDescent="0.25">
      <c r="G32" s="60">
        <f t="shared" si="0"/>
        <v>2005</v>
      </c>
      <c r="H32" s="223">
        <v>38504</v>
      </c>
      <c r="I32" s="61">
        <v>6129.318181818182</v>
      </c>
    </row>
    <row r="33" spans="7:9" x14ac:dyDescent="0.25">
      <c r="G33" s="60">
        <f t="shared" si="0"/>
        <v>2005</v>
      </c>
      <c r="H33" s="223">
        <v>38534</v>
      </c>
      <c r="I33" s="61">
        <v>6020.4761904761908</v>
      </c>
    </row>
    <row r="34" spans="7:9" x14ac:dyDescent="0.25">
      <c r="G34" s="60">
        <f t="shared" si="0"/>
        <v>2005</v>
      </c>
      <c r="H34" s="223">
        <v>38565</v>
      </c>
      <c r="I34" s="61">
        <v>5996.818181818182</v>
      </c>
    </row>
    <row r="35" spans="7:9" x14ac:dyDescent="0.25">
      <c r="G35" s="60">
        <f t="shared" si="0"/>
        <v>2005</v>
      </c>
      <c r="H35" s="223">
        <v>38596</v>
      </c>
      <c r="I35" s="61">
        <v>6110.2380952380954</v>
      </c>
    </row>
    <row r="36" spans="7:9" x14ac:dyDescent="0.25">
      <c r="G36" s="60">
        <f t="shared" si="0"/>
        <v>2005</v>
      </c>
      <c r="H36" s="223">
        <v>38626</v>
      </c>
      <c r="I36" s="61">
        <v>6118.8095238095239</v>
      </c>
    </row>
    <row r="37" spans="7:9" x14ac:dyDescent="0.25">
      <c r="G37" s="60">
        <f t="shared" si="0"/>
        <v>2005</v>
      </c>
      <c r="H37" s="223">
        <v>38657</v>
      </c>
      <c r="I37" s="61">
        <v>6127.5</v>
      </c>
    </row>
    <row r="38" spans="7:9" x14ac:dyDescent="0.25">
      <c r="G38" s="60">
        <f t="shared" si="0"/>
        <v>2005</v>
      </c>
      <c r="H38" s="223">
        <v>38687</v>
      </c>
      <c r="I38" s="61">
        <v>6109.5238095238092</v>
      </c>
    </row>
    <row r="39" spans="7:9" x14ac:dyDescent="0.25">
      <c r="G39" s="60">
        <f t="shared" si="0"/>
        <v>2006</v>
      </c>
      <c r="H39" s="223">
        <v>38718</v>
      </c>
      <c r="I39" s="61">
        <v>6125.909090909091</v>
      </c>
    </row>
    <row r="40" spans="7:9" x14ac:dyDescent="0.25">
      <c r="G40" s="60">
        <f t="shared" si="0"/>
        <v>2006</v>
      </c>
      <c r="H40" s="223">
        <v>38749</v>
      </c>
      <c r="I40" s="61">
        <v>6059</v>
      </c>
    </row>
    <row r="41" spans="7:9" x14ac:dyDescent="0.25">
      <c r="G41" s="60">
        <f t="shared" si="0"/>
        <v>2006</v>
      </c>
      <c r="H41" s="223">
        <v>38777</v>
      </c>
      <c r="I41" s="61">
        <v>5884.090909090909</v>
      </c>
    </row>
    <row r="42" spans="7:9" x14ac:dyDescent="0.25">
      <c r="G42" s="60">
        <f t="shared" si="0"/>
        <v>2006</v>
      </c>
      <c r="H42" s="223">
        <v>38808</v>
      </c>
      <c r="I42" s="61">
        <v>5796.666666666667</v>
      </c>
    </row>
    <row r="43" spans="7:9" x14ac:dyDescent="0.25">
      <c r="G43" s="60">
        <f t="shared" si="0"/>
        <v>2006</v>
      </c>
      <c r="H43" s="223">
        <v>38838</v>
      </c>
      <c r="I43" s="61">
        <v>5595.7142857142853</v>
      </c>
    </row>
    <row r="44" spans="7:9" x14ac:dyDescent="0.25">
      <c r="G44" s="60">
        <f t="shared" si="0"/>
        <v>2006</v>
      </c>
      <c r="H44" s="223">
        <v>38869</v>
      </c>
      <c r="I44" s="61">
        <v>5615.2380952380954</v>
      </c>
    </row>
    <row r="45" spans="7:9" x14ac:dyDescent="0.25">
      <c r="G45" s="60">
        <f t="shared" si="0"/>
        <v>2006</v>
      </c>
      <c r="H45" s="223">
        <v>38899</v>
      </c>
      <c r="I45" s="61">
        <v>5491.9047619047615</v>
      </c>
    </row>
    <row r="46" spans="7:9" x14ac:dyDescent="0.25">
      <c r="G46" s="60">
        <f t="shared" si="0"/>
        <v>2006</v>
      </c>
      <c r="H46" s="223">
        <v>38930</v>
      </c>
      <c r="I46" s="61">
        <v>5423.181818181818</v>
      </c>
    </row>
    <row r="47" spans="7:9" x14ac:dyDescent="0.25">
      <c r="G47" s="60">
        <f t="shared" si="0"/>
        <v>2006</v>
      </c>
      <c r="H47" s="223">
        <v>38961</v>
      </c>
      <c r="I47" s="61">
        <v>5398.25</v>
      </c>
    </row>
    <row r="48" spans="7:9" x14ac:dyDescent="0.25">
      <c r="G48" s="60">
        <f t="shared" si="0"/>
        <v>2006</v>
      </c>
      <c r="H48" s="223">
        <v>38991</v>
      </c>
      <c r="I48" s="61">
        <v>5344.772727272727</v>
      </c>
    </row>
    <row r="49" spans="7:9" x14ac:dyDescent="0.25">
      <c r="G49" s="60">
        <f t="shared" si="0"/>
        <v>2006</v>
      </c>
      <c r="H49" s="223">
        <v>39022</v>
      </c>
      <c r="I49" s="61">
        <v>5396.363636363636</v>
      </c>
    </row>
    <row r="50" spans="7:9" x14ac:dyDescent="0.25">
      <c r="G50" s="60">
        <f t="shared" si="0"/>
        <v>2006</v>
      </c>
      <c r="H50" s="223">
        <v>39052</v>
      </c>
      <c r="I50" s="61">
        <v>5313.1578947368425</v>
      </c>
    </row>
    <row r="51" spans="7:9" x14ac:dyDescent="0.25">
      <c r="G51" s="60">
        <f t="shared" si="0"/>
        <v>2007</v>
      </c>
      <c r="H51" s="223">
        <v>39083</v>
      </c>
      <c r="I51" s="61">
        <v>5200.681818181818</v>
      </c>
    </row>
    <row r="52" spans="7:9" x14ac:dyDescent="0.25">
      <c r="G52" s="60">
        <f t="shared" si="0"/>
        <v>2007</v>
      </c>
      <c r="H52" s="223">
        <v>39114</v>
      </c>
      <c r="I52" s="61">
        <v>5204</v>
      </c>
    </row>
    <row r="53" spans="7:9" x14ac:dyDescent="0.25">
      <c r="G53" s="60">
        <f t="shared" si="0"/>
        <v>2007</v>
      </c>
      <c r="H53" s="223">
        <v>39142</v>
      </c>
      <c r="I53" s="61">
        <v>5090.9523809523807</v>
      </c>
    </row>
    <row r="54" spans="7:9" x14ac:dyDescent="0.25">
      <c r="G54" s="60">
        <f t="shared" si="0"/>
        <v>2007</v>
      </c>
      <c r="H54" s="223">
        <v>39173</v>
      </c>
      <c r="I54" s="61">
        <v>5023.1578947368425</v>
      </c>
    </row>
    <row r="55" spans="7:9" x14ac:dyDescent="0.25">
      <c r="G55" s="60">
        <f t="shared" si="0"/>
        <v>2007</v>
      </c>
      <c r="H55" s="223">
        <v>39203</v>
      </c>
      <c r="I55" s="61">
        <v>5045.7142857142853</v>
      </c>
    </row>
    <row r="56" spans="7:9" x14ac:dyDescent="0.25">
      <c r="G56" s="60">
        <f t="shared" si="0"/>
        <v>2007</v>
      </c>
      <c r="H56" s="223">
        <v>39234</v>
      </c>
      <c r="I56" s="61">
        <v>5069.5</v>
      </c>
    </row>
    <row r="57" spans="7:9" x14ac:dyDescent="0.25">
      <c r="G57" s="60">
        <f t="shared" si="0"/>
        <v>2007</v>
      </c>
      <c r="H57" s="223">
        <v>39264</v>
      </c>
      <c r="I57" s="61">
        <v>5110.681818181818</v>
      </c>
    </row>
    <row r="58" spans="7:9" x14ac:dyDescent="0.25">
      <c r="G58" s="60">
        <f t="shared" si="0"/>
        <v>2007</v>
      </c>
      <c r="H58" s="223">
        <v>39295</v>
      </c>
      <c r="I58" s="61">
        <v>5096.136363636364</v>
      </c>
    </row>
    <row r="59" spans="7:9" x14ac:dyDescent="0.25">
      <c r="G59" s="60">
        <f t="shared" si="0"/>
        <v>2007</v>
      </c>
      <c r="H59" s="223">
        <v>39326</v>
      </c>
      <c r="I59" s="61">
        <v>5012.5</v>
      </c>
    </row>
    <row r="60" spans="7:9" x14ac:dyDescent="0.25">
      <c r="G60" s="60">
        <f t="shared" si="0"/>
        <v>2007</v>
      </c>
      <c r="H60" s="223">
        <v>39356</v>
      </c>
      <c r="I60" s="61">
        <v>4952.826086956522</v>
      </c>
    </row>
    <row r="61" spans="7:9" x14ac:dyDescent="0.25">
      <c r="G61" s="60">
        <f t="shared" si="0"/>
        <v>2007</v>
      </c>
      <c r="H61" s="223">
        <v>39387</v>
      </c>
      <c r="I61" s="61">
        <v>4714.318181818182</v>
      </c>
    </row>
    <row r="62" spans="7:9" x14ac:dyDescent="0.25">
      <c r="G62" s="60">
        <f t="shared" si="0"/>
        <v>2007</v>
      </c>
      <c r="H62" s="223">
        <v>39417</v>
      </c>
      <c r="I62" s="61">
        <v>4716.5</v>
      </c>
    </row>
    <row r="63" spans="7:9" x14ac:dyDescent="0.25">
      <c r="G63" s="60">
        <f t="shared" si="0"/>
        <v>2008</v>
      </c>
      <c r="H63" s="223">
        <v>39448</v>
      </c>
      <c r="I63" s="61">
        <v>4704.090909090909</v>
      </c>
    </row>
    <row r="64" spans="7:9" x14ac:dyDescent="0.25">
      <c r="G64" s="60">
        <f t="shared" si="0"/>
        <v>2008</v>
      </c>
      <c r="H64" s="223">
        <v>39479</v>
      </c>
      <c r="I64" s="61">
        <v>4672.8571428571431</v>
      </c>
    </row>
    <row r="65" spans="7:9" x14ac:dyDescent="0.25">
      <c r="G65" s="60">
        <f t="shared" si="0"/>
        <v>2008</v>
      </c>
      <c r="H65" s="223">
        <v>39508</v>
      </c>
      <c r="I65" s="61">
        <v>4524.7368421052633</v>
      </c>
    </row>
    <row r="66" spans="7:9" x14ac:dyDescent="0.25">
      <c r="G66" s="60">
        <f t="shared" si="0"/>
        <v>2008</v>
      </c>
      <c r="H66" s="223">
        <v>39539</v>
      </c>
      <c r="I66" s="61">
        <v>4274.090909090909</v>
      </c>
    </row>
    <row r="67" spans="7:9" x14ac:dyDescent="0.25">
      <c r="G67" s="60">
        <f t="shared" si="0"/>
        <v>2008</v>
      </c>
      <c r="H67" s="223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3">
        <v>39600</v>
      </c>
      <c r="I68" s="61">
        <v>3969</v>
      </c>
    </row>
    <row r="69" spans="7:9" x14ac:dyDescent="0.25">
      <c r="G69" s="60">
        <f t="shared" si="1"/>
        <v>2008</v>
      </c>
      <c r="H69" s="223">
        <v>39630</v>
      </c>
      <c r="I69" s="61">
        <v>3962.8260869565215</v>
      </c>
    </row>
    <row r="70" spans="7:9" x14ac:dyDescent="0.25">
      <c r="G70" s="60">
        <f t="shared" si="1"/>
        <v>2008</v>
      </c>
      <c r="H70" s="223">
        <v>39661</v>
      </c>
      <c r="I70" s="61">
        <v>3974.5</v>
      </c>
    </row>
    <row r="71" spans="7:9" x14ac:dyDescent="0.25">
      <c r="G71" s="60">
        <f t="shared" si="1"/>
        <v>2008</v>
      </c>
      <c r="H71" s="223">
        <v>39692</v>
      </c>
      <c r="I71" s="61">
        <v>3986.6666666666665</v>
      </c>
    </row>
    <row r="72" spans="7:9" x14ac:dyDescent="0.25">
      <c r="G72" s="60">
        <f t="shared" si="1"/>
        <v>2008</v>
      </c>
      <c r="H72" s="223">
        <v>39722</v>
      </c>
      <c r="I72" s="61">
        <v>4351.95652173913</v>
      </c>
    </row>
    <row r="73" spans="7:9" x14ac:dyDescent="0.25">
      <c r="G73" s="60">
        <f t="shared" si="1"/>
        <v>2008</v>
      </c>
      <c r="H73" s="223">
        <v>39753</v>
      </c>
      <c r="I73" s="61">
        <v>4799</v>
      </c>
    </row>
    <row r="74" spans="7:9" x14ac:dyDescent="0.25">
      <c r="G74" s="60">
        <f t="shared" si="1"/>
        <v>2008</v>
      </c>
      <c r="H74" s="223">
        <v>39783</v>
      </c>
      <c r="I74" s="61">
        <v>4874.2857142857147</v>
      </c>
    </row>
    <row r="75" spans="7:9" x14ac:dyDescent="0.25">
      <c r="G75" s="60">
        <f t="shared" si="1"/>
        <v>2009</v>
      </c>
      <c r="H75" s="223">
        <v>39814</v>
      </c>
      <c r="I75" s="61">
        <v>4978.5714285714284</v>
      </c>
    </row>
    <row r="76" spans="7:9" x14ac:dyDescent="0.25">
      <c r="G76" s="60">
        <f t="shared" si="1"/>
        <v>2009</v>
      </c>
      <c r="H76" s="223">
        <v>39845</v>
      </c>
      <c r="I76" s="61">
        <v>5085.75</v>
      </c>
    </row>
    <row r="77" spans="7:9" x14ac:dyDescent="0.25">
      <c r="G77" s="60">
        <f t="shared" si="1"/>
        <v>2009</v>
      </c>
      <c r="H77" s="223">
        <v>39873</v>
      </c>
      <c r="I77" s="61">
        <v>5124.545454545455</v>
      </c>
    </row>
    <row r="78" spans="7:9" x14ac:dyDescent="0.25">
      <c r="G78" s="60">
        <f t="shared" si="1"/>
        <v>2009</v>
      </c>
      <c r="H78" s="223">
        <v>39904</v>
      </c>
      <c r="I78" s="61">
        <v>5034.5</v>
      </c>
    </row>
    <row r="79" spans="7:9" x14ac:dyDescent="0.25">
      <c r="G79" s="60">
        <f t="shared" si="1"/>
        <v>2009</v>
      </c>
      <c r="H79" s="223">
        <v>39934</v>
      </c>
      <c r="I79" s="61">
        <v>5026.8421052631575</v>
      </c>
    </row>
    <row r="80" spans="7:9" x14ac:dyDescent="0.25">
      <c r="G80" s="60">
        <f t="shared" si="1"/>
        <v>2009</v>
      </c>
      <c r="H80" s="223">
        <v>39965</v>
      </c>
      <c r="I80" s="61">
        <v>5016.1904761904761</v>
      </c>
    </row>
    <row r="81" spans="7:9" x14ac:dyDescent="0.25">
      <c r="G81" s="60">
        <f t="shared" si="1"/>
        <v>2009</v>
      </c>
      <c r="H81" s="223">
        <v>39995</v>
      </c>
      <c r="I81" s="61">
        <v>4998.695652173913</v>
      </c>
    </row>
    <row r="82" spans="7:9" x14ac:dyDescent="0.25">
      <c r="G82" s="60">
        <f t="shared" si="1"/>
        <v>2009</v>
      </c>
      <c r="H82" s="223">
        <v>40026</v>
      </c>
      <c r="I82" s="61">
        <v>4944.7619047619046</v>
      </c>
    </row>
    <row r="83" spans="7:9" x14ac:dyDescent="0.25">
      <c r="G83" s="60">
        <f t="shared" si="1"/>
        <v>2009</v>
      </c>
      <c r="H83" s="223">
        <v>40057</v>
      </c>
      <c r="I83" s="61">
        <v>4923.8095238095239</v>
      </c>
    </row>
    <row r="84" spans="7:9" x14ac:dyDescent="0.25">
      <c r="G84" s="60">
        <f t="shared" si="1"/>
        <v>2009</v>
      </c>
      <c r="H84" s="223">
        <v>40087</v>
      </c>
      <c r="I84" s="61">
        <v>4870</v>
      </c>
    </row>
    <row r="85" spans="7:9" x14ac:dyDescent="0.25">
      <c r="G85" s="60">
        <f t="shared" si="1"/>
        <v>2009</v>
      </c>
      <c r="H85" s="223">
        <v>40118</v>
      </c>
      <c r="I85" s="61">
        <v>4828.5714285714284</v>
      </c>
    </row>
    <row r="86" spans="7:9" x14ac:dyDescent="0.25">
      <c r="G86" s="60">
        <f t="shared" si="1"/>
        <v>2009</v>
      </c>
      <c r="H86" s="223">
        <v>40148</v>
      </c>
      <c r="I86" s="61">
        <v>4649.0476190476193</v>
      </c>
    </row>
    <row r="87" spans="7:9" x14ac:dyDescent="0.25">
      <c r="G87" s="60">
        <f t="shared" si="1"/>
        <v>2010</v>
      </c>
      <c r="H87" s="223">
        <v>40179</v>
      </c>
      <c r="I87" s="61">
        <v>4655.5</v>
      </c>
    </row>
    <row r="88" spans="7:9" x14ac:dyDescent="0.25">
      <c r="G88" s="60">
        <f t="shared" si="1"/>
        <v>2010</v>
      </c>
      <c r="H88" s="223">
        <v>40210</v>
      </c>
      <c r="I88" s="61">
        <v>4694.75</v>
      </c>
    </row>
    <row r="89" spans="7:9" x14ac:dyDescent="0.25">
      <c r="G89" s="60">
        <f t="shared" si="1"/>
        <v>2010</v>
      </c>
      <c r="H89" s="223">
        <v>40238</v>
      </c>
      <c r="I89" s="61">
        <v>4693.909090909091</v>
      </c>
    </row>
    <row r="90" spans="7:9" x14ac:dyDescent="0.25">
      <c r="G90" s="60">
        <f t="shared" si="1"/>
        <v>2010</v>
      </c>
      <c r="H90" s="223">
        <v>40269</v>
      </c>
      <c r="I90" s="61">
        <v>4700.1000000000004</v>
      </c>
    </row>
    <row r="91" spans="7:9" x14ac:dyDescent="0.25">
      <c r="G91" s="60">
        <f t="shared" si="1"/>
        <v>2010</v>
      </c>
      <c r="H91" s="223">
        <v>40299</v>
      </c>
      <c r="I91" s="61">
        <v>4726.9523809523807</v>
      </c>
    </row>
    <row r="92" spans="7:9" x14ac:dyDescent="0.25">
      <c r="G92" s="60">
        <f t="shared" si="1"/>
        <v>2010</v>
      </c>
      <c r="H92" s="223">
        <v>40330</v>
      </c>
      <c r="I92" s="61">
        <v>4752.090909090909</v>
      </c>
    </row>
    <row r="93" spans="7:9" x14ac:dyDescent="0.25">
      <c r="G93" s="60">
        <f t="shared" si="1"/>
        <v>2010</v>
      </c>
      <c r="H93" s="223">
        <v>40360</v>
      </c>
      <c r="I93" s="61">
        <v>4757</v>
      </c>
    </row>
    <row r="94" spans="7:9" x14ac:dyDescent="0.25">
      <c r="G94" s="60">
        <f t="shared" si="1"/>
        <v>2010</v>
      </c>
      <c r="H94" s="223">
        <v>40391</v>
      </c>
      <c r="I94" s="61">
        <v>4755.772727272727</v>
      </c>
    </row>
    <row r="95" spans="7:9" x14ac:dyDescent="0.25">
      <c r="G95" s="60">
        <f t="shared" si="1"/>
        <v>2010</v>
      </c>
      <c r="H95" s="223">
        <v>40422</v>
      </c>
      <c r="I95" s="61">
        <v>4783.4761904761908</v>
      </c>
    </row>
    <row r="96" spans="7:9" x14ac:dyDescent="0.25">
      <c r="G96" s="60">
        <f t="shared" si="1"/>
        <v>2010</v>
      </c>
      <c r="H96" s="223">
        <v>40452</v>
      </c>
      <c r="I96" s="61">
        <v>4917.1428571428569</v>
      </c>
    </row>
    <row r="97" spans="7:9" x14ac:dyDescent="0.25">
      <c r="G97" s="60">
        <f t="shared" si="1"/>
        <v>2010</v>
      </c>
      <c r="H97" s="223">
        <v>40483</v>
      </c>
      <c r="I97" s="61">
        <v>4796.636363636364</v>
      </c>
    </row>
    <row r="98" spans="7:9" x14ac:dyDescent="0.25">
      <c r="G98" s="60">
        <f t="shared" si="1"/>
        <v>2010</v>
      </c>
      <c r="H98" s="223">
        <v>40513</v>
      </c>
      <c r="I98" s="61">
        <v>4570.227272727273</v>
      </c>
    </row>
    <row r="99" spans="7:9" x14ac:dyDescent="0.25">
      <c r="G99" s="60">
        <f t="shared" si="1"/>
        <v>2011</v>
      </c>
      <c r="H99" s="223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3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3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3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3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3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3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3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3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3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3">
        <v>40848</v>
      </c>
      <c r="I109" s="61">
        <v>4309</v>
      </c>
    </row>
    <row r="110" spans="7:9" x14ac:dyDescent="0.25">
      <c r="G110" s="60">
        <f t="shared" si="1"/>
        <v>2011</v>
      </c>
      <c r="H110" s="223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3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3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3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3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3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3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3">
        <v>41091</v>
      </c>
      <c r="I117" s="61">
        <v>4438</v>
      </c>
    </row>
    <row r="118" spans="7:9" x14ac:dyDescent="0.25">
      <c r="G118" s="60">
        <f t="shared" si="1"/>
        <v>2012</v>
      </c>
      <c r="H118" s="223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3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3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3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3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3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3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3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3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3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3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3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3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3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3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3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3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3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3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3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3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3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3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3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3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3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3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3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3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3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3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3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3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3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3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3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3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3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3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3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3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3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3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3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3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3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3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3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3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3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3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3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3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3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3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3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3">
        <v>42826</v>
      </c>
      <c r="I174" s="61">
        <v>5569.53</v>
      </c>
    </row>
    <row r="175" spans="7:9" x14ac:dyDescent="0.25">
      <c r="G175" s="60">
        <f t="shared" si="2"/>
        <v>2017</v>
      </c>
      <c r="H175" s="223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3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3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3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3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3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3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3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3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3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3">
        <v>43160</v>
      </c>
      <c r="I185" s="61">
        <v>5531.7945</v>
      </c>
    </row>
    <row r="186" spans="7:9" x14ac:dyDescent="0.25">
      <c r="G186" s="60">
        <f t="shared" si="2"/>
        <v>2018</v>
      </c>
      <c r="H186" s="223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3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3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3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3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3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3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3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3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3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3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3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3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3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3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3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3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3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3">
        <v>43739</v>
      </c>
      <c r="I204" s="61">
        <v>6439.38195652174</v>
      </c>
    </row>
    <row r="205" spans="7:9" x14ac:dyDescent="0.25">
      <c r="G205" s="60">
        <f t="shared" si="3"/>
        <v>2019</v>
      </c>
      <c r="H205" s="223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3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3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3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3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3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3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3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3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3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3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3">
        <v>44105</v>
      </c>
      <c r="I216" s="61">
        <v>7018.63590909091</v>
      </c>
    </row>
    <row r="217" spans="7:9" x14ac:dyDescent="0.25">
      <c r="G217" s="60">
        <f t="shared" si="3"/>
        <v>2020</v>
      </c>
      <c r="H217" s="223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3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3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3">
        <v>44228</v>
      </c>
      <c r="I220" s="61">
        <v>6723.152</v>
      </c>
    </row>
    <row r="221" spans="7:9" x14ac:dyDescent="0.25">
      <c r="G221" s="60">
        <f t="shared" si="3"/>
        <v>2021</v>
      </c>
      <c r="H221" s="223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3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3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3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3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3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3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3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3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3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3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3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3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3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3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3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3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3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3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3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3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3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3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3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3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3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3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3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3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3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3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3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3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3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3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3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3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3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3">
        <v>45413</v>
      </c>
      <c r="I259" s="61">
        <v>7506.9517499999993</v>
      </c>
    </row>
    <row r="260" spans="7:9" x14ac:dyDescent="0.25">
      <c r="G260" s="60">
        <f t="shared" ref="G260:G262" si="4">YEAR(H260)</f>
        <v>2024</v>
      </c>
      <c r="H260" s="223">
        <v>45444</v>
      </c>
      <c r="I260" s="61">
        <v>7529.649736842106</v>
      </c>
    </row>
    <row r="261" spans="7:9" x14ac:dyDescent="0.25">
      <c r="G261" s="60">
        <f t="shared" si="4"/>
        <v>2024</v>
      </c>
      <c r="H261" s="223">
        <v>45474</v>
      </c>
      <c r="I261" s="61">
        <v>7554.6780434782604</v>
      </c>
    </row>
    <row r="262" spans="7:9" x14ac:dyDescent="0.25">
      <c r="G262" s="60">
        <f t="shared" si="4"/>
        <v>2024</v>
      </c>
      <c r="H262" s="223">
        <v>45505</v>
      </c>
      <c r="I262" s="61">
        <v>7594.0761904761894</v>
      </c>
    </row>
    <row r="263" spans="7:9" x14ac:dyDescent="0.25">
      <c r="G263" s="60">
        <f t="shared" ref="G263" si="5">YEAR(H263)</f>
        <v>2024</v>
      </c>
      <c r="H263" s="223">
        <v>45536</v>
      </c>
      <c r="I263" s="61">
        <v>7764.5704999999998</v>
      </c>
    </row>
    <row r="264" spans="7:9" x14ac:dyDescent="0.25">
      <c r="G264" s="60">
        <f t="shared" ref="G264:G265" si="6">YEAR(H264)</f>
        <v>2024</v>
      </c>
      <c r="H264" s="223">
        <v>45566</v>
      </c>
      <c r="I264" s="61">
        <v>7866.6784782608702</v>
      </c>
    </row>
    <row r="265" spans="7:9" x14ac:dyDescent="0.25">
      <c r="G265" s="60">
        <f t="shared" si="6"/>
        <v>2024</v>
      </c>
      <c r="H265" s="223">
        <v>45597</v>
      </c>
      <c r="I265" s="61">
        <v>7805.0828571428574</v>
      </c>
    </row>
    <row r="266" spans="7:9" x14ac:dyDescent="0.25">
      <c r="G266" s="60">
        <f t="shared" ref="G266:G278" si="7">YEAR(H266)</f>
        <v>2024</v>
      </c>
      <c r="H266" s="223">
        <v>45627</v>
      </c>
      <c r="I266" s="61">
        <v>7810.2420000000002</v>
      </c>
    </row>
    <row r="267" spans="7:9" x14ac:dyDescent="0.25">
      <c r="G267" s="60">
        <f t="shared" si="7"/>
        <v>2025</v>
      </c>
      <c r="H267" s="223">
        <v>45658</v>
      </c>
      <c r="I267" s="61">
        <v>7892.6847727272743</v>
      </c>
    </row>
    <row r="268" spans="7:9" x14ac:dyDescent="0.25">
      <c r="G268" s="60">
        <f t="shared" si="7"/>
        <v>2025</v>
      </c>
      <c r="H268" s="223">
        <v>45689</v>
      </c>
      <c r="I268" s="61">
        <v>7897.4904999999999</v>
      </c>
    </row>
    <row r="269" spans="7:9" x14ac:dyDescent="0.25">
      <c r="G269" s="60">
        <f t="shared" si="7"/>
        <v>2025</v>
      </c>
      <c r="H269" s="223">
        <v>45717</v>
      </c>
      <c r="I269" s="230">
        <v>7962.8940000000002</v>
      </c>
    </row>
    <row r="270" spans="7:9" x14ac:dyDescent="0.25">
      <c r="G270" s="60">
        <f t="shared" si="7"/>
        <v>2025</v>
      </c>
      <c r="H270" s="223">
        <v>45748</v>
      </c>
      <c r="I270" s="61">
        <v>8006.0007500000002</v>
      </c>
    </row>
    <row r="271" spans="7:9" x14ac:dyDescent="0.25">
      <c r="G271" s="60">
        <f t="shared" si="7"/>
        <v>2025</v>
      </c>
      <c r="H271" s="223">
        <v>45778</v>
      </c>
      <c r="I271" s="61"/>
    </row>
    <row r="272" spans="7:9" x14ac:dyDescent="0.25">
      <c r="G272" s="60">
        <f t="shared" si="7"/>
        <v>2025</v>
      </c>
      <c r="H272" s="223">
        <v>45809</v>
      </c>
      <c r="I272" s="61"/>
    </row>
    <row r="273" spans="7:9" x14ac:dyDescent="0.25">
      <c r="G273" s="60">
        <f t="shared" si="7"/>
        <v>2025</v>
      </c>
      <c r="H273" s="223">
        <v>45839</v>
      </c>
      <c r="I273" s="61"/>
    </row>
    <row r="274" spans="7:9" x14ac:dyDescent="0.25">
      <c r="G274" s="60">
        <f t="shared" si="7"/>
        <v>2025</v>
      </c>
      <c r="H274" s="223">
        <v>45870</v>
      </c>
      <c r="I274" s="61"/>
    </row>
    <row r="275" spans="7:9" x14ac:dyDescent="0.25">
      <c r="G275" s="60">
        <f t="shared" si="7"/>
        <v>2025</v>
      </c>
      <c r="H275" s="223">
        <v>45901</v>
      </c>
      <c r="I275" s="61"/>
    </row>
    <row r="276" spans="7:9" x14ac:dyDescent="0.25">
      <c r="G276" s="60">
        <f t="shared" si="7"/>
        <v>2025</v>
      </c>
      <c r="H276" s="223">
        <v>45931</v>
      </c>
      <c r="I276" s="61"/>
    </row>
    <row r="277" spans="7:9" x14ac:dyDescent="0.25">
      <c r="G277" s="60">
        <f t="shared" si="7"/>
        <v>2025</v>
      </c>
      <c r="H277" s="223">
        <v>45962</v>
      </c>
      <c r="I277" s="61"/>
    </row>
    <row r="278" spans="7:9" x14ac:dyDescent="0.25">
      <c r="G278" s="60">
        <f t="shared" si="7"/>
        <v>2025</v>
      </c>
      <c r="H278" s="223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8B3-4831-4D16-889C-4299E580D45B}">
  <dimension ref="B2:AA68"/>
  <sheetViews>
    <sheetView showGridLines="0" zoomScale="85" zoomScaleNormal="85" workbookViewId="0">
      <selection activeCell="L8" sqref="L8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3" width="11.5703125" style="74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2" width="11.5703125" style="74"/>
    <col min="13" max="13" width="1.7109375" style="74" customWidth="1"/>
    <col min="14" max="14" width="23.140625" style="74" bestFit="1" customWidth="1"/>
    <col min="15" max="18" width="11.5703125" style="74"/>
    <col min="19" max="21" width="1.7109375" style="74" customWidth="1"/>
    <col min="22" max="22" width="26.42578125" style="74" customWidth="1"/>
    <col min="23" max="26" width="11.5703125" style="74"/>
    <col min="27" max="27" width="1.7109375" style="74" customWidth="1"/>
    <col min="28" max="258" width="11.5703125" style="74"/>
    <col min="259" max="259" width="20.7109375" style="74" customWidth="1"/>
    <col min="260" max="260" width="11.5703125" style="74"/>
    <col min="261" max="262" width="12.28515625" style="74" customWidth="1"/>
    <col min="263" max="263" width="21.7109375" style="74" customWidth="1"/>
    <col min="264" max="514" width="11.5703125" style="74"/>
    <col min="515" max="515" width="20.7109375" style="74" customWidth="1"/>
    <col min="516" max="516" width="11.5703125" style="74"/>
    <col min="517" max="518" width="12.28515625" style="74" customWidth="1"/>
    <col min="519" max="519" width="21.7109375" style="74" customWidth="1"/>
    <col min="520" max="770" width="11.5703125" style="74"/>
    <col min="771" max="771" width="20.7109375" style="74" customWidth="1"/>
    <col min="772" max="772" width="11.5703125" style="74"/>
    <col min="773" max="774" width="12.28515625" style="74" customWidth="1"/>
    <col min="775" max="775" width="21.7109375" style="74" customWidth="1"/>
    <col min="776" max="1026" width="11.5703125" style="74"/>
    <col min="1027" max="1027" width="20.7109375" style="74" customWidth="1"/>
    <col min="1028" max="1028" width="11.5703125" style="74"/>
    <col min="1029" max="1030" width="12.28515625" style="74" customWidth="1"/>
    <col min="1031" max="1031" width="21.7109375" style="74" customWidth="1"/>
    <col min="1032" max="1282" width="11.5703125" style="74"/>
    <col min="1283" max="1283" width="20.7109375" style="74" customWidth="1"/>
    <col min="1284" max="1284" width="11.5703125" style="74"/>
    <col min="1285" max="1286" width="12.28515625" style="74" customWidth="1"/>
    <col min="1287" max="1287" width="21.7109375" style="74" customWidth="1"/>
    <col min="1288" max="1538" width="11.5703125" style="74"/>
    <col min="1539" max="1539" width="20.7109375" style="74" customWidth="1"/>
    <col min="1540" max="1540" width="11.5703125" style="74"/>
    <col min="1541" max="1542" width="12.28515625" style="74" customWidth="1"/>
    <col min="1543" max="1543" width="21.7109375" style="74" customWidth="1"/>
    <col min="1544" max="1794" width="11.5703125" style="74"/>
    <col min="1795" max="1795" width="20.7109375" style="74" customWidth="1"/>
    <col min="1796" max="1796" width="11.5703125" style="74"/>
    <col min="1797" max="1798" width="12.28515625" style="74" customWidth="1"/>
    <col min="1799" max="1799" width="21.7109375" style="74" customWidth="1"/>
    <col min="1800" max="2050" width="11.5703125" style="74"/>
    <col min="2051" max="2051" width="20.7109375" style="74" customWidth="1"/>
    <col min="2052" max="2052" width="11.5703125" style="74"/>
    <col min="2053" max="2054" width="12.28515625" style="74" customWidth="1"/>
    <col min="2055" max="2055" width="21.7109375" style="74" customWidth="1"/>
    <col min="2056" max="2306" width="11.5703125" style="74"/>
    <col min="2307" max="2307" width="20.7109375" style="74" customWidth="1"/>
    <col min="2308" max="2308" width="11.5703125" style="74"/>
    <col min="2309" max="2310" width="12.28515625" style="74" customWidth="1"/>
    <col min="2311" max="2311" width="21.7109375" style="74" customWidth="1"/>
    <col min="2312" max="2562" width="11.5703125" style="74"/>
    <col min="2563" max="2563" width="20.7109375" style="74" customWidth="1"/>
    <col min="2564" max="2564" width="11.5703125" style="74"/>
    <col min="2565" max="2566" width="12.28515625" style="74" customWidth="1"/>
    <col min="2567" max="2567" width="21.7109375" style="74" customWidth="1"/>
    <col min="2568" max="2818" width="11.5703125" style="74"/>
    <col min="2819" max="2819" width="20.7109375" style="74" customWidth="1"/>
    <col min="2820" max="2820" width="11.5703125" style="74"/>
    <col min="2821" max="2822" width="12.28515625" style="74" customWidth="1"/>
    <col min="2823" max="2823" width="21.7109375" style="74" customWidth="1"/>
    <col min="2824" max="3074" width="11.5703125" style="74"/>
    <col min="3075" max="3075" width="20.7109375" style="74" customWidth="1"/>
    <col min="3076" max="3076" width="11.5703125" style="74"/>
    <col min="3077" max="3078" width="12.28515625" style="74" customWidth="1"/>
    <col min="3079" max="3079" width="21.7109375" style="74" customWidth="1"/>
    <col min="3080" max="3330" width="11.5703125" style="74"/>
    <col min="3331" max="3331" width="20.7109375" style="74" customWidth="1"/>
    <col min="3332" max="3332" width="11.5703125" style="74"/>
    <col min="3333" max="3334" width="12.28515625" style="74" customWidth="1"/>
    <col min="3335" max="3335" width="21.7109375" style="74" customWidth="1"/>
    <col min="3336" max="3586" width="11.5703125" style="74"/>
    <col min="3587" max="3587" width="20.7109375" style="74" customWidth="1"/>
    <col min="3588" max="3588" width="11.5703125" style="74"/>
    <col min="3589" max="3590" width="12.28515625" style="74" customWidth="1"/>
    <col min="3591" max="3591" width="21.7109375" style="74" customWidth="1"/>
    <col min="3592" max="3842" width="11.5703125" style="74"/>
    <col min="3843" max="3843" width="20.7109375" style="74" customWidth="1"/>
    <col min="3844" max="3844" width="11.5703125" style="74"/>
    <col min="3845" max="3846" width="12.28515625" style="74" customWidth="1"/>
    <col min="3847" max="3847" width="21.7109375" style="74" customWidth="1"/>
    <col min="3848" max="4098" width="11.5703125" style="74"/>
    <col min="4099" max="4099" width="20.7109375" style="74" customWidth="1"/>
    <col min="4100" max="4100" width="11.5703125" style="74"/>
    <col min="4101" max="4102" width="12.28515625" style="74" customWidth="1"/>
    <col min="4103" max="4103" width="21.7109375" style="74" customWidth="1"/>
    <col min="4104" max="4354" width="11.5703125" style="74"/>
    <col min="4355" max="4355" width="20.7109375" style="74" customWidth="1"/>
    <col min="4356" max="4356" width="11.5703125" style="74"/>
    <col min="4357" max="4358" width="12.28515625" style="74" customWidth="1"/>
    <col min="4359" max="4359" width="21.7109375" style="74" customWidth="1"/>
    <col min="4360" max="4610" width="11.5703125" style="74"/>
    <col min="4611" max="4611" width="20.7109375" style="74" customWidth="1"/>
    <col min="4612" max="4612" width="11.5703125" style="74"/>
    <col min="4613" max="4614" width="12.28515625" style="74" customWidth="1"/>
    <col min="4615" max="4615" width="21.7109375" style="74" customWidth="1"/>
    <col min="4616" max="4866" width="11.5703125" style="74"/>
    <col min="4867" max="4867" width="20.7109375" style="74" customWidth="1"/>
    <col min="4868" max="4868" width="11.5703125" style="74"/>
    <col min="4869" max="4870" width="12.28515625" style="74" customWidth="1"/>
    <col min="4871" max="4871" width="21.7109375" style="74" customWidth="1"/>
    <col min="4872" max="5122" width="11.5703125" style="74"/>
    <col min="5123" max="5123" width="20.7109375" style="74" customWidth="1"/>
    <col min="5124" max="5124" width="11.5703125" style="74"/>
    <col min="5125" max="5126" width="12.28515625" style="74" customWidth="1"/>
    <col min="5127" max="5127" width="21.7109375" style="74" customWidth="1"/>
    <col min="5128" max="5378" width="11.5703125" style="74"/>
    <col min="5379" max="5379" width="20.7109375" style="74" customWidth="1"/>
    <col min="5380" max="5380" width="11.5703125" style="74"/>
    <col min="5381" max="5382" width="12.28515625" style="74" customWidth="1"/>
    <col min="5383" max="5383" width="21.7109375" style="74" customWidth="1"/>
    <col min="5384" max="5634" width="11.5703125" style="74"/>
    <col min="5635" max="5635" width="20.7109375" style="74" customWidth="1"/>
    <col min="5636" max="5636" width="11.5703125" style="74"/>
    <col min="5637" max="5638" width="12.28515625" style="74" customWidth="1"/>
    <col min="5639" max="5639" width="21.7109375" style="74" customWidth="1"/>
    <col min="5640" max="5890" width="11.5703125" style="74"/>
    <col min="5891" max="5891" width="20.7109375" style="74" customWidth="1"/>
    <col min="5892" max="5892" width="11.5703125" style="74"/>
    <col min="5893" max="5894" width="12.28515625" style="74" customWidth="1"/>
    <col min="5895" max="5895" width="21.7109375" style="74" customWidth="1"/>
    <col min="5896" max="6146" width="11.5703125" style="74"/>
    <col min="6147" max="6147" width="20.7109375" style="74" customWidth="1"/>
    <col min="6148" max="6148" width="11.5703125" style="74"/>
    <col min="6149" max="6150" width="12.28515625" style="74" customWidth="1"/>
    <col min="6151" max="6151" width="21.7109375" style="74" customWidth="1"/>
    <col min="6152" max="6402" width="11.5703125" style="74"/>
    <col min="6403" max="6403" width="20.7109375" style="74" customWidth="1"/>
    <col min="6404" max="6404" width="11.5703125" style="74"/>
    <col min="6405" max="6406" width="12.28515625" style="74" customWidth="1"/>
    <col min="6407" max="6407" width="21.7109375" style="74" customWidth="1"/>
    <col min="6408" max="6658" width="11.5703125" style="74"/>
    <col min="6659" max="6659" width="20.7109375" style="74" customWidth="1"/>
    <col min="6660" max="6660" width="11.5703125" style="74"/>
    <col min="6661" max="6662" width="12.28515625" style="74" customWidth="1"/>
    <col min="6663" max="6663" width="21.7109375" style="74" customWidth="1"/>
    <col min="6664" max="6914" width="11.5703125" style="74"/>
    <col min="6915" max="6915" width="20.7109375" style="74" customWidth="1"/>
    <col min="6916" max="6916" width="11.5703125" style="74"/>
    <col min="6917" max="6918" width="12.28515625" style="74" customWidth="1"/>
    <col min="6919" max="6919" width="21.7109375" style="74" customWidth="1"/>
    <col min="6920" max="7170" width="11.5703125" style="74"/>
    <col min="7171" max="7171" width="20.7109375" style="74" customWidth="1"/>
    <col min="7172" max="7172" width="11.5703125" style="74"/>
    <col min="7173" max="7174" width="12.28515625" style="74" customWidth="1"/>
    <col min="7175" max="7175" width="21.7109375" style="74" customWidth="1"/>
    <col min="7176" max="7426" width="11.5703125" style="74"/>
    <col min="7427" max="7427" width="20.7109375" style="74" customWidth="1"/>
    <col min="7428" max="7428" width="11.5703125" style="74"/>
    <col min="7429" max="7430" width="12.28515625" style="74" customWidth="1"/>
    <col min="7431" max="7431" width="21.7109375" style="74" customWidth="1"/>
    <col min="7432" max="7682" width="11.5703125" style="74"/>
    <col min="7683" max="7683" width="20.7109375" style="74" customWidth="1"/>
    <col min="7684" max="7684" width="11.5703125" style="74"/>
    <col min="7685" max="7686" width="12.28515625" style="74" customWidth="1"/>
    <col min="7687" max="7687" width="21.7109375" style="74" customWidth="1"/>
    <col min="7688" max="7938" width="11.5703125" style="74"/>
    <col min="7939" max="7939" width="20.7109375" style="74" customWidth="1"/>
    <col min="7940" max="7940" width="11.5703125" style="74"/>
    <col min="7941" max="7942" width="12.28515625" style="74" customWidth="1"/>
    <col min="7943" max="7943" width="21.7109375" style="74" customWidth="1"/>
    <col min="7944" max="8194" width="11.5703125" style="74"/>
    <col min="8195" max="8195" width="20.7109375" style="74" customWidth="1"/>
    <col min="8196" max="8196" width="11.5703125" style="74"/>
    <col min="8197" max="8198" width="12.28515625" style="74" customWidth="1"/>
    <col min="8199" max="8199" width="21.7109375" style="74" customWidth="1"/>
    <col min="8200" max="8450" width="11.5703125" style="74"/>
    <col min="8451" max="8451" width="20.7109375" style="74" customWidth="1"/>
    <col min="8452" max="8452" width="11.5703125" style="74"/>
    <col min="8453" max="8454" width="12.28515625" style="74" customWidth="1"/>
    <col min="8455" max="8455" width="21.7109375" style="74" customWidth="1"/>
    <col min="8456" max="8706" width="11.5703125" style="74"/>
    <col min="8707" max="8707" width="20.7109375" style="74" customWidth="1"/>
    <col min="8708" max="8708" width="11.5703125" style="74"/>
    <col min="8709" max="8710" width="12.28515625" style="74" customWidth="1"/>
    <col min="8711" max="8711" width="21.7109375" style="74" customWidth="1"/>
    <col min="8712" max="8962" width="11.5703125" style="74"/>
    <col min="8963" max="8963" width="20.7109375" style="74" customWidth="1"/>
    <col min="8964" max="8964" width="11.5703125" style="74"/>
    <col min="8965" max="8966" width="12.28515625" style="74" customWidth="1"/>
    <col min="8967" max="8967" width="21.7109375" style="74" customWidth="1"/>
    <col min="8968" max="9218" width="11.5703125" style="74"/>
    <col min="9219" max="9219" width="20.7109375" style="74" customWidth="1"/>
    <col min="9220" max="9220" width="11.5703125" style="74"/>
    <col min="9221" max="9222" width="12.28515625" style="74" customWidth="1"/>
    <col min="9223" max="9223" width="21.7109375" style="74" customWidth="1"/>
    <col min="9224" max="9474" width="11.5703125" style="74"/>
    <col min="9475" max="9475" width="20.7109375" style="74" customWidth="1"/>
    <col min="9476" max="9476" width="11.5703125" style="74"/>
    <col min="9477" max="9478" width="12.28515625" style="74" customWidth="1"/>
    <col min="9479" max="9479" width="21.7109375" style="74" customWidth="1"/>
    <col min="9480" max="9730" width="11.5703125" style="74"/>
    <col min="9731" max="9731" width="20.7109375" style="74" customWidth="1"/>
    <col min="9732" max="9732" width="11.5703125" style="74"/>
    <col min="9733" max="9734" width="12.28515625" style="74" customWidth="1"/>
    <col min="9735" max="9735" width="21.7109375" style="74" customWidth="1"/>
    <col min="9736" max="9986" width="11.5703125" style="74"/>
    <col min="9987" max="9987" width="20.7109375" style="74" customWidth="1"/>
    <col min="9988" max="9988" width="11.5703125" style="74"/>
    <col min="9989" max="9990" width="12.28515625" style="74" customWidth="1"/>
    <col min="9991" max="9991" width="21.7109375" style="74" customWidth="1"/>
    <col min="9992" max="10242" width="11.5703125" style="74"/>
    <col min="10243" max="10243" width="20.7109375" style="74" customWidth="1"/>
    <col min="10244" max="10244" width="11.5703125" style="74"/>
    <col min="10245" max="10246" width="12.28515625" style="74" customWidth="1"/>
    <col min="10247" max="10247" width="21.7109375" style="74" customWidth="1"/>
    <col min="10248" max="10498" width="11.5703125" style="74"/>
    <col min="10499" max="10499" width="20.7109375" style="74" customWidth="1"/>
    <col min="10500" max="10500" width="11.5703125" style="74"/>
    <col min="10501" max="10502" width="12.28515625" style="74" customWidth="1"/>
    <col min="10503" max="10503" width="21.7109375" style="74" customWidth="1"/>
    <col min="10504" max="10754" width="11.5703125" style="74"/>
    <col min="10755" max="10755" width="20.7109375" style="74" customWidth="1"/>
    <col min="10756" max="10756" width="11.5703125" style="74"/>
    <col min="10757" max="10758" width="12.28515625" style="74" customWidth="1"/>
    <col min="10759" max="10759" width="21.7109375" style="74" customWidth="1"/>
    <col min="10760" max="11010" width="11.5703125" style="74"/>
    <col min="11011" max="11011" width="20.7109375" style="74" customWidth="1"/>
    <col min="11012" max="11012" width="11.5703125" style="74"/>
    <col min="11013" max="11014" width="12.28515625" style="74" customWidth="1"/>
    <col min="11015" max="11015" width="21.7109375" style="74" customWidth="1"/>
    <col min="11016" max="11266" width="11.5703125" style="74"/>
    <col min="11267" max="11267" width="20.7109375" style="74" customWidth="1"/>
    <col min="11268" max="11268" width="11.5703125" style="74"/>
    <col min="11269" max="11270" width="12.28515625" style="74" customWidth="1"/>
    <col min="11271" max="11271" width="21.7109375" style="74" customWidth="1"/>
    <col min="11272" max="11522" width="11.5703125" style="74"/>
    <col min="11523" max="11523" width="20.7109375" style="74" customWidth="1"/>
    <col min="11524" max="11524" width="11.5703125" style="74"/>
    <col min="11525" max="11526" width="12.28515625" style="74" customWidth="1"/>
    <col min="11527" max="11527" width="21.7109375" style="74" customWidth="1"/>
    <col min="11528" max="11778" width="11.5703125" style="74"/>
    <col min="11779" max="11779" width="20.7109375" style="74" customWidth="1"/>
    <col min="11780" max="11780" width="11.5703125" style="74"/>
    <col min="11781" max="11782" width="12.28515625" style="74" customWidth="1"/>
    <col min="11783" max="11783" width="21.7109375" style="74" customWidth="1"/>
    <col min="11784" max="12034" width="11.5703125" style="74"/>
    <col min="12035" max="12035" width="20.7109375" style="74" customWidth="1"/>
    <col min="12036" max="12036" width="11.5703125" style="74"/>
    <col min="12037" max="12038" width="12.28515625" style="74" customWidth="1"/>
    <col min="12039" max="12039" width="21.7109375" style="74" customWidth="1"/>
    <col min="12040" max="12290" width="11.5703125" style="74"/>
    <col min="12291" max="12291" width="20.7109375" style="74" customWidth="1"/>
    <col min="12292" max="12292" width="11.5703125" style="74"/>
    <col min="12293" max="12294" width="12.28515625" style="74" customWidth="1"/>
    <col min="12295" max="12295" width="21.7109375" style="74" customWidth="1"/>
    <col min="12296" max="12546" width="11.5703125" style="74"/>
    <col min="12547" max="12547" width="20.7109375" style="74" customWidth="1"/>
    <col min="12548" max="12548" width="11.5703125" style="74"/>
    <col min="12549" max="12550" width="12.28515625" style="74" customWidth="1"/>
    <col min="12551" max="12551" width="21.7109375" style="74" customWidth="1"/>
    <col min="12552" max="12802" width="11.5703125" style="74"/>
    <col min="12803" max="12803" width="20.7109375" style="74" customWidth="1"/>
    <col min="12804" max="12804" width="11.5703125" style="74"/>
    <col min="12805" max="12806" width="12.28515625" style="74" customWidth="1"/>
    <col min="12807" max="12807" width="21.7109375" style="74" customWidth="1"/>
    <col min="12808" max="13058" width="11.5703125" style="74"/>
    <col min="13059" max="13059" width="20.7109375" style="74" customWidth="1"/>
    <col min="13060" max="13060" width="11.5703125" style="74"/>
    <col min="13061" max="13062" width="12.28515625" style="74" customWidth="1"/>
    <col min="13063" max="13063" width="21.7109375" style="74" customWidth="1"/>
    <col min="13064" max="13314" width="11.5703125" style="74"/>
    <col min="13315" max="13315" width="20.7109375" style="74" customWidth="1"/>
    <col min="13316" max="13316" width="11.5703125" style="74"/>
    <col min="13317" max="13318" width="12.28515625" style="74" customWidth="1"/>
    <col min="13319" max="13319" width="21.7109375" style="74" customWidth="1"/>
    <col min="13320" max="13570" width="11.5703125" style="74"/>
    <col min="13571" max="13571" width="20.7109375" style="74" customWidth="1"/>
    <col min="13572" max="13572" width="11.5703125" style="74"/>
    <col min="13573" max="13574" width="12.28515625" style="74" customWidth="1"/>
    <col min="13575" max="13575" width="21.7109375" style="74" customWidth="1"/>
    <col min="13576" max="13826" width="11.5703125" style="74"/>
    <col min="13827" max="13827" width="20.7109375" style="74" customWidth="1"/>
    <col min="13828" max="13828" width="11.5703125" style="74"/>
    <col min="13829" max="13830" width="12.28515625" style="74" customWidth="1"/>
    <col min="13831" max="13831" width="21.7109375" style="74" customWidth="1"/>
    <col min="13832" max="14082" width="11.5703125" style="74"/>
    <col min="14083" max="14083" width="20.7109375" style="74" customWidth="1"/>
    <col min="14084" max="14084" width="11.5703125" style="74"/>
    <col min="14085" max="14086" width="12.28515625" style="74" customWidth="1"/>
    <col min="14087" max="14087" width="21.7109375" style="74" customWidth="1"/>
    <col min="14088" max="14338" width="11.5703125" style="74"/>
    <col min="14339" max="14339" width="20.7109375" style="74" customWidth="1"/>
    <col min="14340" max="14340" width="11.5703125" style="74"/>
    <col min="14341" max="14342" width="12.28515625" style="74" customWidth="1"/>
    <col min="14343" max="14343" width="21.7109375" style="74" customWidth="1"/>
    <col min="14344" max="14594" width="11.5703125" style="74"/>
    <col min="14595" max="14595" width="20.7109375" style="74" customWidth="1"/>
    <col min="14596" max="14596" width="11.5703125" style="74"/>
    <col min="14597" max="14598" width="12.28515625" style="74" customWidth="1"/>
    <col min="14599" max="14599" width="21.7109375" style="74" customWidth="1"/>
    <col min="14600" max="14850" width="11.5703125" style="74"/>
    <col min="14851" max="14851" width="20.7109375" style="74" customWidth="1"/>
    <col min="14852" max="14852" width="11.5703125" style="74"/>
    <col min="14853" max="14854" width="12.28515625" style="74" customWidth="1"/>
    <col min="14855" max="14855" width="21.7109375" style="74" customWidth="1"/>
    <col min="14856" max="15106" width="11.5703125" style="74"/>
    <col min="15107" max="15107" width="20.7109375" style="74" customWidth="1"/>
    <col min="15108" max="15108" width="11.5703125" style="74"/>
    <col min="15109" max="15110" width="12.28515625" style="74" customWidth="1"/>
    <col min="15111" max="15111" width="21.7109375" style="74" customWidth="1"/>
    <col min="15112" max="15362" width="11.5703125" style="74"/>
    <col min="15363" max="15363" width="20.7109375" style="74" customWidth="1"/>
    <col min="15364" max="15364" width="11.5703125" style="74"/>
    <col min="15365" max="15366" width="12.28515625" style="74" customWidth="1"/>
    <col min="15367" max="15367" width="21.7109375" style="74" customWidth="1"/>
    <col min="15368" max="15618" width="11.5703125" style="74"/>
    <col min="15619" max="15619" width="20.7109375" style="74" customWidth="1"/>
    <col min="15620" max="15620" width="11.5703125" style="74"/>
    <col min="15621" max="15622" width="12.28515625" style="74" customWidth="1"/>
    <col min="15623" max="15623" width="21.7109375" style="74" customWidth="1"/>
    <col min="15624" max="15874" width="11.5703125" style="74"/>
    <col min="15875" max="15875" width="20.7109375" style="74" customWidth="1"/>
    <col min="15876" max="15876" width="11.5703125" style="74"/>
    <col min="15877" max="15878" width="12.28515625" style="74" customWidth="1"/>
    <col min="15879" max="15879" width="21.7109375" style="74" customWidth="1"/>
    <col min="15880" max="16130" width="11.5703125" style="74"/>
    <col min="16131" max="16131" width="20.7109375" style="74" customWidth="1"/>
    <col min="16132" max="16132" width="11.5703125" style="74"/>
    <col min="16133" max="16134" width="12.28515625" style="74" customWidth="1"/>
    <col min="16135" max="16135" width="21.7109375" style="74" customWidth="1"/>
    <col min="16136" max="16384" width="11.5703125" style="74"/>
  </cols>
  <sheetData>
    <row r="2" spans="2:27" ht="21" customHeight="1" x14ac:dyDescent="0.2">
      <c r="L2" s="188" t="s">
        <v>189</v>
      </c>
    </row>
    <row r="3" spans="2:27" ht="21" customHeight="1" thickBot="1" x14ac:dyDescent="0.25">
      <c r="B3" s="233"/>
      <c r="C3" s="233"/>
      <c r="D3" s="233"/>
      <c r="E3" s="233"/>
      <c r="F3" s="233"/>
      <c r="G3" s="233"/>
      <c r="H3" s="233"/>
      <c r="I3" s="233"/>
      <c r="J3" s="233"/>
      <c r="L3" s="189" t="s">
        <v>190</v>
      </c>
    </row>
    <row r="4" spans="2:27" ht="14.25" customHeight="1" x14ac:dyDescent="0.2"/>
    <row r="5" spans="2:27" ht="15" x14ac:dyDescent="0.25">
      <c r="B5" s="238" t="s">
        <v>193</v>
      </c>
      <c r="C5" s="238"/>
      <c r="D5" s="238"/>
      <c r="E5" s="238"/>
      <c r="F5" s="238"/>
      <c r="G5" s="238"/>
      <c r="H5" s="238"/>
      <c r="I5" s="238"/>
      <c r="J5" s="238"/>
    </row>
    <row r="6" spans="2:27" x14ac:dyDescent="0.2">
      <c r="B6" s="239" t="str">
        <f>Aux!$V$5</f>
        <v>Abril 2025</v>
      </c>
      <c r="C6" s="239"/>
      <c r="D6" s="239"/>
      <c r="E6" s="239"/>
      <c r="F6" s="239"/>
      <c r="G6" s="239"/>
      <c r="H6" s="239"/>
      <c r="I6" s="239"/>
      <c r="J6" s="239"/>
    </row>
    <row r="7" spans="2:27" ht="23.25" customHeight="1" x14ac:dyDescent="0.2">
      <c r="M7" s="74" t="s">
        <v>213</v>
      </c>
    </row>
    <row r="8" spans="2:27" ht="22.5" customHeight="1" x14ac:dyDescent="0.2">
      <c r="L8" s="175"/>
      <c r="M8" s="251" t="s">
        <v>216</v>
      </c>
      <c r="N8" s="251"/>
      <c r="O8" s="251"/>
      <c r="P8" s="251"/>
      <c r="Q8" s="252"/>
      <c r="R8" s="252"/>
      <c r="S8" s="252"/>
      <c r="U8" s="248" t="s">
        <v>218</v>
      </c>
      <c r="V8" s="248"/>
      <c r="W8" s="248"/>
      <c r="X8" s="248"/>
      <c r="Y8" s="249"/>
      <c r="Z8" s="249"/>
      <c r="AA8" s="249"/>
    </row>
    <row r="9" spans="2:27" ht="25.5" customHeight="1" thickBot="1" x14ac:dyDescent="0.25">
      <c r="F9" s="75"/>
      <c r="G9" s="232" t="str">
        <f>Aux!W6</f>
        <v>ene-abr 2024</v>
      </c>
      <c r="H9" s="232" t="str">
        <f>Aux!W5</f>
        <v>ene-abr 2025</v>
      </c>
      <c r="I9" s="76" t="s">
        <v>138</v>
      </c>
      <c r="N9" s="75"/>
      <c r="O9" s="234" t="str">
        <f>Aux!W6</f>
        <v>ene-abr 2024</v>
      </c>
      <c r="P9" s="234" t="str">
        <f>Aux!W5</f>
        <v>ene-abr 2025</v>
      </c>
      <c r="Q9" s="76" t="s">
        <v>214</v>
      </c>
      <c r="R9" s="76" t="s">
        <v>215</v>
      </c>
      <c r="W9" s="234" t="str">
        <f>Aux!W6</f>
        <v>ene-abr 2024</v>
      </c>
      <c r="X9" s="234" t="str">
        <f>Aux!W5</f>
        <v>ene-abr 2025</v>
      </c>
      <c r="Y9" s="76" t="s">
        <v>214</v>
      </c>
      <c r="Z9" s="76" t="s">
        <v>215</v>
      </c>
    </row>
    <row r="10" spans="2:27" ht="15" thickBot="1" x14ac:dyDescent="0.25">
      <c r="F10" s="77" t="s">
        <v>98</v>
      </c>
      <c r="G10" s="78">
        <f>'CA Informe'!U13</f>
        <v>15733.878077495003</v>
      </c>
      <c r="H10" s="78">
        <f>'CA Informe'!T13</f>
        <v>17204.768565810002</v>
      </c>
      <c r="I10" s="79">
        <f>+H10/G10-1</f>
        <v>9.3485565419430205E-2</v>
      </c>
      <c r="N10" s="77" t="s">
        <v>98</v>
      </c>
      <c r="O10" s="78">
        <f>'CA Informe'!U13</f>
        <v>15733.878077495003</v>
      </c>
      <c r="P10" s="78">
        <f>'CA Informe'!T13</f>
        <v>17204.768565810002</v>
      </c>
      <c r="Q10" s="79">
        <f t="shared" ref="Q10:Q13" si="0">P10/O10-1</f>
        <v>9.3485565419430205E-2</v>
      </c>
      <c r="R10" s="79"/>
      <c r="V10" s="91" t="s">
        <v>140</v>
      </c>
      <c r="W10" s="91"/>
      <c r="X10" s="91"/>
      <c r="Y10" s="92"/>
      <c r="Z10" s="92"/>
    </row>
    <row r="11" spans="2:27" x14ac:dyDescent="0.2">
      <c r="F11" s="80" t="str">
        <f>+'1'!A13</f>
        <v xml:space="preserve">Ingresos Tributarios </v>
      </c>
      <c r="G11" s="81">
        <f>'CA Informe'!U14</f>
        <v>12015.707473808001</v>
      </c>
      <c r="H11" s="81">
        <f>'CA Informe'!T14</f>
        <v>13278.945735234001</v>
      </c>
      <c r="I11" s="82">
        <f>+H11/G11-1</f>
        <v>0.1051322416245255</v>
      </c>
      <c r="N11" s="80" t="s">
        <v>84</v>
      </c>
      <c r="O11" s="81">
        <f>'CA Informe'!U14</f>
        <v>12015.707473808001</v>
      </c>
      <c r="P11" s="81">
        <f>'CA Informe'!T14</f>
        <v>13278.945735234001</v>
      </c>
      <c r="Q11" s="82">
        <f t="shared" si="0"/>
        <v>0.1051322416245255</v>
      </c>
      <c r="R11" s="82"/>
      <c r="V11" s="94" t="s">
        <v>25</v>
      </c>
      <c r="W11" s="95"/>
      <c r="X11" s="95"/>
      <c r="Y11" s="96"/>
      <c r="Z11" s="96"/>
    </row>
    <row r="12" spans="2:27" x14ac:dyDescent="0.2">
      <c r="F12" s="80" t="str">
        <f>+'1'!A15</f>
        <v>Contribuciones sociales</v>
      </c>
      <c r="G12" s="81">
        <f>'CA Informe'!U17</f>
        <v>1097.2662328710001</v>
      </c>
      <c r="H12" s="81">
        <f>'CA Informe'!T17</f>
        <v>1119.6314853509998</v>
      </c>
      <c r="I12" s="82">
        <f>+H12/G12-1</f>
        <v>2.0382703677557901E-2</v>
      </c>
      <c r="N12" s="80" t="s">
        <v>87</v>
      </c>
      <c r="O12" s="81">
        <f>'CA Informe'!U17</f>
        <v>1097.2662328710001</v>
      </c>
      <c r="P12" s="81">
        <f>'CA Informe'!T17</f>
        <v>1119.6314853509998</v>
      </c>
      <c r="Q12" s="82">
        <f t="shared" si="0"/>
        <v>2.0382703677557901E-2</v>
      </c>
      <c r="R12" s="82"/>
      <c r="V12" s="84" t="s">
        <v>26</v>
      </c>
      <c r="W12" s="229"/>
      <c r="X12" s="84"/>
      <c r="Y12" s="85"/>
      <c r="Z12" s="85"/>
    </row>
    <row r="13" spans="2:27" x14ac:dyDescent="0.2">
      <c r="F13" s="83" t="str">
        <f>+'1'!A17</f>
        <v>Donaciones</v>
      </c>
      <c r="G13" s="84">
        <f>'CA Informe'!U18</f>
        <v>579.38410528500003</v>
      </c>
      <c r="H13" s="84">
        <f>'CA Informe'!T18</f>
        <v>519.73468122399993</v>
      </c>
      <c r="I13" s="85">
        <f>+H13/G13-1</f>
        <v>-0.10295315925461646</v>
      </c>
      <c r="N13" s="83" t="s">
        <v>11</v>
      </c>
      <c r="O13" s="84">
        <f>'CA Informe'!U18</f>
        <v>579.38410528500003</v>
      </c>
      <c r="P13" s="84">
        <f>'CA Informe'!T18</f>
        <v>519.73468122399993</v>
      </c>
      <c r="Q13" s="85">
        <f t="shared" si="0"/>
        <v>-0.10295315925461646</v>
      </c>
      <c r="R13" s="85"/>
      <c r="V13" s="84" t="s">
        <v>31</v>
      </c>
      <c r="W13" s="84"/>
      <c r="X13" s="84"/>
      <c r="Y13" s="85"/>
      <c r="Z13" s="85"/>
    </row>
    <row r="14" spans="2:27" x14ac:dyDescent="0.2">
      <c r="F14" s="86" t="str">
        <f>+'1'!A27</f>
        <v>Otros ingresos</v>
      </c>
      <c r="G14" s="87">
        <f>'CA Informe'!U19</f>
        <v>2041.5202655309999</v>
      </c>
      <c r="H14" s="216">
        <f>'CA Informe'!T19</f>
        <v>2286.4566640009998</v>
      </c>
      <c r="I14" s="88">
        <f>+H14/G14-1</f>
        <v>0.11997745141476313</v>
      </c>
      <c r="N14" s="80" t="s">
        <v>17</v>
      </c>
      <c r="O14" s="84">
        <f>'CA Informe'!U19</f>
        <v>2041.5202655309999</v>
      </c>
      <c r="P14" s="84">
        <f>'CA Informe'!T19</f>
        <v>2286.4566640009998</v>
      </c>
      <c r="Q14" s="85">
        <f>P14/O14-1</f>
        <v>0.11997745141476313</v>
      </c>
      <c r="R14" s="85"/>
      <c r="V14" s="84" t="s">
        <v>11</v>
      </c>
      <c r="W14" s="84"/>
      <c r="X14" s="84"/>
      <c r="Y14" s="85"/>
      <c r="Z14" s="85"/>
    </row>
    <row r="15" spans="2:27" x14ac:dyDescent="0.2">
      <c r="F15" s="89" t="s">
        <v>139</v>
      </c>
      <c r="N15" s="235" t="s">
        <v>92</v>
      </c>
      <c r="O15" s="84">
        <f>'CA Informe'!U35</f>
        <v>1210.588990837</v>
      </c>
      <c r="P15" s="84">
        <f>'CA Informe'!T35</f>
        <v>1488.312323547</v>
      </c>
      <c r="Q15" s="85">
        <f>P15/O15-1</f>
        <v>0.22941174487138061</v>
      </c>
      <c r="R15" s="85"/>
      <c r="V15" s="84" t="s">
        <v>35</v>
      </c>
      <c r="W15" s="84"/>
      <c r="X15" s="84"/>
      <c r="Y15" s="85"/>
      <c r="Z15" s="85"/>
    </row>
    <row r="16" spans="2:27" x14ac:dyDescent="0.2">
      <c r="N16" s="236" t="s">
        <v>219</v>
      </c>
      <c r="O16" s="87">
        <f>O14-O15</f>
        <v>830.93127469399997</v>
      </c>
      <c r="P16" s="87">
        <f>P14-P15</f>
        <v>798.1443404539998</v>
      </c>
      <c r="Q16" s="88">
        <f>P16/O16-1</f>
        <v>-3.9458057770270227E-2</v>
      </c>
      <c r="R16" s="88"/>
      <c r="V16" s="97" t="s">
        <v>39</v>
      </c>
      <c r="W16" s="97"/>
      <c r="X16" s="97"/>
      <c r="Y16" s="98"/>
      <c r="Z16" s="98"/>
    </row>
    <row r="17" spans="2:26" x14ac:dyDescent="0.2">
      <c r="N17" s="89" t="s">
        <v>139</v>
      </c>
      <c r="V17" s="99" t="s">
        <v>141</v>
      </c>
    </row>
    <row r="19" spans="2:26" ht="15" x14ac:dyDescent="0.25">
      <c r="N19" s="250" t="s">
        <v>217</v>
      </c>
      <c r="O19" s="250"/>
      <c r="P19" s="250"/>
      <c r="Q19" s="250"/>
      <c r="R19" s="250"/>
      <c r="V19" s="250" t="s">
        <v>217</v>
      </c>
      <c r="W19" s="250"/>
      <c r="X19" s="250"/>
      <c r="Y19" s="250"/>
      <c r="Z19" s="250"/>
    </row>
    <row r="30" spans="2:26" ht="15" thickBot="1" x14ac:dyDescent="0.25">
      <c r="C30" s="232" t="str">
        <f>Aux!W6</f>
        <v>ene-abr 2024</v>
      </c>
      <c r="D30" s="232" t="str">
        <f>Aux!W5</f>
        <v>ene-abr 2025</v>
      </c>
      <c r="E30" s="90" t="s">
        <v>138</v>
      </c>
    </row>
    <row r="31" spans="2:26" ht="15" thickBot="1" x14ac:dyDescent="0.25">
      <c r="B31" s="91" t="s">
        <v>140</v>
      </c>
      <c r="C31" s="91">
        <f>'CA Informe'!U20</f>
        <v>15899.302351802002</v>
      </c>
      <c r="D31" s="91">
        <f>'CA Informe'!T20</f>
        <v>17097.166926234</v>
      </c>
      <c r="E31" s="92">
        <f>+D31/C31-1</f>
        <v>7.5340700360744695E-2</v>
      </c>
    </row>
    <row r="32" spans="2:26" x14ac:dyDescent="0.2">
      <c r="B32" s="94" t="str">
        <f>+'1'!A37</f>
        <v>Remuneración a los empleados</v>
      </c>
      <c r="C32" s="95">
        <f>'CA Informe'!U21</f>
        <v>6614.8130605860006</v>
      </c>
      <c r="D32" s="95">
        <f>'CA Informe'!T21</f>
        <v>7127.8432016309998</v>
      </c>
      <c r="E32" s="96">
        <f t="shared" ref="E32:E37" si="1">+D32/C32-1</f>
        <v>7.7557768654394899E-2</v>
      </c>
      <c r="F32" s="93"/>
    </row>
    <row r="33" spans="2:15" x14ac:dyDescent="0.2">
      <c r="B33" s="84" t="str">
        <f>+'1'!A38</f>
        <v>Uso de bienes y servicios</v>
      </c>
      <c r="C33" s="229">
        <f>'CA Informe'!U22</f>
        <v>2276.570273327</v>
      </c>
      <c r="D33" s="84">
        <f>'CA Informe'!T22</f>
        <v>1998.3193255489998</v>
      </c>
      <c r="E33" s="85">
        <f t="shared" si="1"/>
        <v>-0.12222374641278333</v>
      </c>
      <c r="F33" s="85"/>
      <c r="N33" s="169"/>
    </row>
    <row r="34" spans="2:15" x14ac:dyDescent="0.2">
      <c r="B34" s="84" t="str">
        <f>+'1'!A43</f>
        <v>Intereses</v>
      </c>
      <c r="C34" s="84">
        <f>'CA Informe'!U23</f>
        <v>1983.9199207250001</v>
      </c>
      <c r="D34" s="84">
        <f>'CA Informe'!T23</f>
        <v>2317.1339911170003</v>
      </c>
      <c r="E34" s="85">
        <f t="shared" si="1"/>
        <v>0.16795741950624254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1626.4445473119999</v>
      </c>
      <c r="D35" s="84">
        <f>'CA Informe'!T24</f>
        <v>1844.0390065999998</v>
      </c>
      <c r="E35" s="85">
        <f t="shared" si="1"/>
        <v>0.13378535385520207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2943.4990035119999</v>
      </c>
      <c r="D36" s="84">
        <f>'CA Informe'!T25</f>
        <v>3355.5823372979994</v>
      </c>
      <c r="E36" s="85">
        <f t="shared" si="1"/>
        <v>0.13999778267100726</v>
      </c>
      <c r="F36" s="85"/>
      <c r="L36" s="169"/>
      <c r="M36" s="169"/>
    </row>
    <row r="37" spans="2:15" x14ac:dyDescent="0.2">
      <c r="B37" s="97" t="str">
        <f>+'1'!A61</f>
        <v>Otros gastos</v>
      </c>
      <c r="C37" s="97">
        <f>'CA Informe'!U26</f>
        <v>454.05554633999998</v>
      </c>
      <c r="D37" s="97">
        <f>'CA Informe'!T26</f>
        <v>454.24906403900002</v>
      </c>
      <c r="E37" s="98">
        <f t="shared" si="1"/>
        <v>4.2619829349055394E-4</v>
      </c>
      <c r="F37" s="85"/>
      <c r="M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  <c r="O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>
      <c r="N46" s="169"/>
    </row>
    <row r="47" spans="2:15" x14ac:dyDescent="0.2">
      <c r="M47" s="169"/>
      <c r="N47" s="169"/>
    </row>
    <row r="48" spans="2:15" x14ac:dyDescent="0.2">
      <c r="M48" s="169"/>
    </row>
    <row r="50" spans="8:14" x14ac:dyDescent="0.2">
      <c r="N50" s="169"/>
    </row>
    <row r="53" spans="8:14" ht="15" x14ac:dyDescent="0.25">
      <c r="J53" s="178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H58" s="177"/>
      <c r="I58" s="177"/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x14ac:dyDescent="0.2">
      <c r="H67" s="176"/>
      <c r="I67" s="176"/>
    </row>
    <row r="68" spans="8:10" x14ac:dyDescent="0.2">
      <c r="H68" s="176"/>
      <c r="I68" s="176"/>
    </row>
  </sheetData>
  <mergeCells count="8">
    <mergeCell ref="U8:X8"/>
    <mergeCell ref="Y8:AA8"/>
    <mergeCell ref="N19:R19"/>
    <mergeCell ref="V19:Z19"/>
    <mergeCell ref="B5:J5"/>
    <mergeCell ref="B6:J6"/>
    <mergeCell ref="M8:P8"/>
    <mergeCell ref="Q8:S8"/>
  </mergeCells>
  <hyperlinks>
    <hyperlink ref="L2" location="'1'!A1" display="SITUFIN Acumulado" xr:uid="{4F1A17E6-BF53-4FA8-9678-97FCB8BCD7CF}"/>
    <hyperlink ref="L3" location="'2'!A1" display="SITUFIN por mes" xr:uid="{9D0E8676-F6E4-4E0C-A671-D93F2DA44CEC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01E-B52F-4B75-AE2E-A93785ACBA58}">
  <dimension ref="B2:O69"/>
  <sheetViews>
    <sheetView showGridLines="0" topLeftCell="A7" zoomScale="85" zoomScaleNormal="85" workbookViewId="0">
      <selection activeCell="L14" sqref="L14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5" width="13.4257812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257" width="11.5703125" style="74"/>
    <col min="258" max="258" width="20.7109375" style="74" customWidth="1"/>
    <col min="259" max="259" width="11.5703125" style="74"/>
    <col min="260" max="261" width="12.28515625" style="74" customWidth="1"/>
    <col min="262" max="262" width="21.7109375" style="74" customWidth="1"/>
    <col min="263" max="513" width="11.5703125" style="74"/>
    <col min="514" max="514" width="20.7109375" style="74" customWidth="1"/>
    <col min="515" max="515" width="11.5703125" style="74"/>
    <col min="516" max="517" width="12.28515625" style="74" customWidth="1"/>
    <col min="518" max="518" width="21.7109375" style="74" customWidth="1"/>
    <col min="519" max="769" width="11.5703125" style="74"/>
    <col min="770" max="770" width="20.7109375" style="74" customWidth="1"/>
    <col min="771" max="771" width="11.5703125" style="74"/>
    <col min="772" max="773" width="12.28515625" style="74" customWidth="1"/>
    <col min="774" max="774" width="21.7109375" style="74" customWidth="1"/>
    <col min="775" max="1025" width="11.5703125" style="74"/>
    <col min="1026" max="1026" width="20.7109375" style="74" customWidth="1"/>
    <col min="1027" max="1027" width="11.5703125" style="74"/>
    <col min="1028" max="1029" width="12.28515625" style="74" customWidth="1"/>
    <col min="1030" max="1030" width="21.7109375" style="74" customWidth="1"/>
    <col min="1031" max="1281" width="11.5703125" style="74"/>
    <col min="1282" max="1282" width="20.7109375" style="74" customWidth="1"/>
    <col min="1283" max="1283" width="11.5703125" style="74"/>
    <col min="1284" max="1285" width="12.28515625" style="74" customWidth="1"/>
    <col min="1286" max="1286" width="21.7109375" style="74" customWidth="1"/>
    <col min="1287" max="1537" width="11.5703125" style="74"/>
    <col min="1538" max="1538" width="20.7109375" style="74" customWidth="1"/>
    <col min="1539" max="1539" width="11.5703125" style="74"/>
    <col min="1540" max="1541" width="12.28515625" style="74" customWidth="1"/>
    <col min="1542" max="1542" width="21.7109375" style="74" customWidth="1"/>
    <col min="1543" max="1793" width="11.5703125" style="74"/>
    <col min="1794" max="1794" width="20.7109375" style="74" customWidth="1"/>
    <col min="1795" max="1795" width="11.5703125" style="74"/>
    <col min="1796" max="1797" width="12.28515625" style="74" customWidth="1"/>
    <col min="1798" max="1798" width="21.7109375" style="74" customWidth="1"/>
    <col min="1799" max="2049" width="11.5703125" style="74"/>
    <col min="2050" max="2050" width="20.7109375" style="74" customWidth="1"/>
    <col min="2051" max="2051" width="11.5703125" style="74"/>
    <col min="2052" max="2053" width="12.28515625" style="74" customWidth="1"/>
    <col min="2054" max="2054" width="21.7109375" style="74" customWidth="1"/>
    <col min="2055" max="2305" width="11.5703125" style="74"/>
    <col min="2306" max="2306" width="20.7109375" style="74" customWidth="1"/>
    <col min="2307" max="2307" width="11.5703125" style="74"/>
    <col min="2308" max="2309" width="12.28515625" style="74" customWidth="1"/>
    <col min="2310" max="2310" width="21.7109375" style="74" customWidth="1"/>
    <col min="2311" max="2561" width="11.5703125" style="74"/>
    <col min="2562" max="2562" width="20.7109375" style="74" customWidth="1"/>
    <col min="2563" max="2563" width="11.5703125" style="74"/>
    <col min="2564" max="2565" width="12.28515625" style="74" customWidth="1"/>
    <col min="2566" max="2566" width="21.7109375" style="74" customWidth="1"/>
    <col min="2567" max="2817" width="11.5703125" style="74"/>
    <col min="2818" max="2818" width="20.7109375" style="74" customWidth="1"/>
    <col min="2819" max="2819" width="11.5703125" style="74"/>
    <col min="2820" max="2821" width="12.28515625" style="74" customWidth="1"/>
    <col min="2822" max="2822" width="21.7109375" style="74" customWidth="1"/>
    <col min="2823" max="3073" width="11.5703125" style="74"/>
    <col min="3074" max="3074" width="20.7109375" style="74" customWidth="1"/>
    <col min="3075" max="3075" width="11.5703125" style="74"/>
    <col min="3076" max="3077" width="12.28515625" style="74" customWidth="1"/>
    <col min="3078" max="3078" width="21.7109375" style="74" customWidth="1"/>
    <col min="3079" max="3329" width="11.5703125" style="74"/>
    <col min="3330" max="3330" width="20.7109375" style="74" customWidth="1"/>
    <col min="3331" max="3331" width="11.5703125" style="74"/>
    <col min="3332" max="3333" width="12.28515625" style="74" customWidth="1"/>
    <col min="3334" max="3334" width="21.7109375" style="74" customWidth="1"/>
    <col min="3335" max="3585" width="11.5703125" style="74"/>
    <col min="3586" max="3586" width="20.7109375" style="74" customWidth="1"/>
    <col min="3587" max="3587" width="11.5703125" style="74"/>
    <col min="3588" max="3589" width="12.28515625" style="74" customWidth="1"/>
    <col min="3590" max="3590" width="21.7109375" style="74" customWidth="1"/>
    <col min="3591" max="3841" width="11.5703125" style="74"/>
    <col min="3842" max="3842" width="20.7109375" style="74" customWidth="1"/>
    <col min="3843" max="3843" width="11.5703125" style="74"/>
    <col min="3844" max="3845" width="12.28515625" style="74" customWidth="1"/>
    <col min="3846" max="3846" width="21.7109375" style="74" customWidth="1"/>
    <col min="3847" max="4097" width="11.5703125" style="74"/>
    <col min="4098" max="4098" width="20.7109375" style="74" customWidth="1"/>
    <col min="4099" max="4099" width="11.5703125" style="74"/>
    <col min="4100" max="4101" width="12.28515625" style="74" customWidth="1"/>
    <col min="4102" max="4102" width="21.7109375" style="74" customWidth="1"/>
    <col min="4103" max="4353" width="11.5703125" style="74"/>
    <col min="4354" max="4354" width="20.7109375" style="74" customWidth="1"/>
    <col min="4355" max="4355" width="11.5703125" style="74"/>
    <col min="4356" max="4357" width="12.28515625" style="74" customWidth="1"/>
    <col min="4358" max="4358" width="21.7109375" style="74" customWidth="1"/>
    <col min="4359" max="4609" width="11.5703125" style="74"/>
    <col min="4610" max="4610" width="20.7109375" style="74" customWidth="1"/>
    <col min="4611" max="4611" width="11.5703125" style="74"/>
    <col min="4612" max="4613" width="12.28515625" style="74" customWidth="1"/>
    <col min="4614" max="4614" width="21.7109375" style="74" customWidth="1"/>
    <col min="4615" max="4865" width="11.5703125" style="74"/>
    <col min="4866" max="4866" width="20.7109375" style="74" customWidth="1"/>
    <col min="4867" max="4867" width="11.5703125" style="74"/>
    <col min="4868" max="4869" width="12.28515625" style="74" customWidth="1"/>
    <col min="4870" max="4870" width="21.7109375" style="74" customWidth="1"/>
    <col min="4871" max="5121" width="11.5703125" style="74"/>
    <col min="5122" max="5122" width="20.7109375" style="74" customWidth="1"/>
    <col min="5123" max="5123" width="11.5703125" style="74"/>
    <col min="5124" max="5125" width="12.28515625" style="74" customWidth="1"/>
    <col min="5126" max="5126" width="21.7109375" style="74" customWidth="1"/>
    <col min="5127" max="5377" width="11.5703125" style="74"/>
    <col min="5378" max="5378" width="20.7109375" style="74" customWidth="1"/>
    <col min="5379" max="5379" width="11.5703125" style="74"/>
    <col min="5380" max="5381" width="12.28515625" style="74" customWidth="1"/>
    <col min="5382" max="5382" width="21.7109375" style="74" customWidth="1"/>
    <col min="5383" max="5633" width="11.5703125" style="74"/>
    <col min="5634" max="5634" width="20.7109375" style="74" customWidth="1"/>
    <col min="5635" max="5635" width="11.5703125" style="74"/>
    <col min="5636" max="5637" width="12.28515625" style="74" customWidth="1"/>
    <col min="5638" max="5638" width="21.7109375" style="74" customWidth="1"/>
    <col min="5639" max="5889" width="11.5703125" style="74"/>
    <col min="5890" max="5890" width="20.7109375" style="74" customWidth="1"/>
    <col min="5891" max="5891" width="11.5703125" style="74"/>
    <col min="5892" max="5893" width="12.28515625" style="74" customWidth="1"/>
    <col min="5894" max="5894" width="21.7109375" style="74" customWidth="1"/>
    <col min="5895" max="6145" width="11.5703125" style="74"/>
    <col min="6146" max="6146" width="20.7109375" style="74" customWidth="1"/>
    <col min="6147" max="6147" width="11.5703125" style="74"/>
    <col min="6148" max="6149" width="12.28515625" style="74" customWidth="1"/>
    <col min="6150" max="6150" width="21.7109375" style="74" customWidth="1"/>
    <col min="6151" max="6401" width="11.5703125" style="74"/>
    <col min="6402" max="6402" width="20.7109375" style="74" customWidth="1"/>
    <col min="6403" max="6403" width="11.5703125" style="74"/>
    <col min="6404" max="6405" width="12.28515625" style="74" customWidth="1"/>
    <col min="6406" max="6406" width="21.7109375" style="74" customWidth="1"/>
    <col min="6407" max="6657" width="11.5703125" style="74"/>
    <col min="6658" max="6658" width="20.7109375" style="74" customWidth="1"/>
    <col min="6659" max="6659" width="11.5703125" style="74"/>
    <col min="6660" max="6661" width="12.28515625" style="74" customWidth="1"/>
    <col min="6662" max="6662" width="21.7109375" style="74" customWidth="1"/>
    <col min="6663" max="6913" width="11.5703125" style="74"/>
    <col min="6914" max="6914" width="20.7109375" style="74" customWidth="1"/>
    <col min="6915" max="6915" width="11.5703125" style="74"/>
    <col min="6916" max="6917" width="12.28515625" style="74" customWidth="1"/>
    <col min="6918" max="6918" width="21.7109375" style="74" customWidth="1"/>
    <col min="6919" max="7169" width="11.5703125" style="74"/>
    <col min="7170" max="7170" width="20.7109375" style="74" customWidth="1"/>
    <col min="7171" max="7171" width="11.5703125" style="74"/>
    <col min="7172" max="7173" width="12.28515625" style="74" customWidth="1"/>
    <col min="7174" max="7174" width="21.7109375" style="74" customWidth="1"/>
    <col min="7175" max="7425" width="11.5703125" style="74"/>
    <col min="7426" max="7426" width="20.7109375" style="74" customWidth="1"/>
    <col min="7427" max="7427" width="11.5703125" style="74"/>
    <col min="7428" max="7429" width="12.28515625" style="74" customWidth="1"/>
    <col min="7430" max="7430" width="21.7109375" style="74" customWidth="1"/>
    <col min="7431" max="7681" width="11.5703125" style="74"/>
    <col min="7682" max="7682" width="20.7109375" style="74" customWidth="1"/>
    <col min="7683" max="7683" width="11.5703125" style="74"/>
    <col min="7684" max="7685" width="12.28515625" style="74" customWidth="1"/>
    <col min="7686" max="7686" width="21.7109375" style="74" customWidth="1"/>
    <col min="7687" max="7937" width="11.5703125" style="74"/>
    <col min="7938" max="7938" width="20.7109375" style="74" customWidth="1"/>
    <col min="7939" max="7939" width="11.5703125" style="74"/>
    <col min="7940" max="7941" width="12.28515625" style="74" customWidth="1"/>
    <col min="7942" max="7942" width="21.7109375" style="74" customWidth="1"/>
    <col min="7943" max="8193" width="11.5703125" style="74"/>
    <col min="8194" max="8194" width="20.7109375" style="74" customWidth="1"/>
    <col min="8195" max="8195" width="11.5703125" style="74"/>
    <col min="8196" max="8197" width="12.28515625" style="74" customWidth="1"/>
    <col min="8198" max="8198" width="21.7109375" style="74" customWidth="1"/>
    <col min="8199" max="8449" width="11.5703125" style="74"/>
    <col min="8450" max="8450" width="20.7109375" style="74" customWidth="1"/>
    <col min="8451" max="8451" width="11.5703125" style="74"/>
    <col min="8452" max="8453" width="12.28515625" style="74" customWidth="1"/>
    <col min="8454" max="8454" width="21.7109375" style="74" customWidth="1"/>
    <col min="8455" max="8705" width="11.5703125" style="74"/>
    <col min="8706" max="8706" width="20.7109375" style="74" customWidth="1"/>
    <col min="8707" max="8707" width="11.5703125" style="74"/>
    <col min="8708" max="8709" width="12.28515625" style="74" customWidth="1"/>
    <col min="8710" max="8710" width="21.7109375" style="74" customWidth="1"/>
    <col min="8711" max="8961" width="11.5703125" style="74"/>
    <col min="8962" max="8962" width="20.7109375" style="74" customWidth="1"/>
    <col min="8963" max="8963" width="11.5703125" style="74"/>
    <col min="8964" max="8965" width="12.28515625" style="74" customWidth="1"/>
    <col min="8966" max="8966" width="21.7109375" style="74" customWidth="1"/>
    <col min="8967" max="9217" width="11.5703125" style="74"/>
    <col min="9218" max="9218" width="20.7109375" style="74" customWidth="1"/>
    <col min="9219" max="9219" width="11.5703125" style="74"/>
    <col min="9220" max="9221" width="12.28515625" style="74" customWidth="1"/>
    <col min="9222" max="9222" width="21.7109375" style="74" customWidth="1"/>
    <col min="9223" max="9473" width="11.5703125" style="74"/>
    <col min="9474" max="9474" width="20.7109375" style="74" customWidth="1"/>
    <col min="9475" max="9475" width="11.5703125" style="74"/>
    <col min="9476" max="9477" width="12.28515625" style="74" customWidth="1"/>
    <col min="9478" max="9478" width="21.7109375" style="74" customWidth="1"/>
    <col min="9479" max="9729" width="11.5703125" style="74"/>
    <col min="9730" max="9730" width="20.7109375" style="74" customWidth="1"/>
    <col min="9731" max="9731" width="11.5703125" style="74"/>
    <col min="9732" max="9733" width="12.28515625" style="74" customWidth="1"/>
    <col min="9734" max="9734" width="21.7109375" style="74" customWidth="1"/>
    <col min="9735" max="9985" width="11.5703125" style="74"/>
    <col min="9986" max="9986" width="20.7109375" style="74" customWidth="1"/>
    <col min="9987" max="9987" width="11.5703125" style="74"/>
    <col min="9988" max="9989" width="12.28515625" style="74" customWidth="1"/>
    <col min="9990" max="9990" width="21.7109375" style="74" customWidth="1"/>
    <col min="9991" max="10241" width="11.5703125" style="74"/>
    <col min="10242" max="10242" width="20.7109375" style="74" customWidth="1"/>
    <col min="10243" max="10243" width="11.5703125" style="74"/>
    <col min="10244" max="10245" width="12.28515625" style="74" customWidth="1"/>
    <col min="10246" max="10246" width="21.7109375" style="74" customWidth="1"/>
    <col min="10247" max="10497" width="11.5703125" style="74"/>
    <col min="10498" max="10498" width="20.7109375" style="74" customWidth="1"/>
    <col min="10499" max="10499" width="11.5703125" style="74"/>
    <col min="10500" max="10501" width="12.28515625" style="74" customWidth="1"/>
    <col min="10502" max="10502" width="21.7109375" style="74" customWidth="1"/>
    <col min="10503" max="10753" width="11.5703125" style="74"/>
    <col min="10754" max="10754" width="20.7109375" style="74" customWidth="1"/>
    <col min="10755" max="10755" width="11.5703125" style="74"/>
    <col min="10756" max="10757" width="12.28515625" style="74" customWidth="1"/>
    <col min="10758" max="10758" width="21.7109375" style="74" customWidth="1"/>
    <col min="10759" max="11009" width="11.5703125" style="74"/>
    <col min="11010" max="11010" width="20.7109375" style="74" customWidth="1"/>
    <col min="11011" max="11011" width="11.5703125" style="74"/>
    <col min="11012" max="11013" width="12.28515625" style="74" customWidth="1"/>
    <col min="11014" max="11014" width="21.7109375" style="74" customWidth="1"/>
    <col min="11015" max="11265" width="11.5703125" style="74"/>
    <col min="11266" max="11266" width="20.7109375" style="74" customWidth="1"/>
    <col min="11267" max="11267" width="11.5703125" style="74"/>
    <col min="11268" max="11269" width="12.28515625" style="74" customWidth="1"/>
    <col min="11270" max="11270" width="21.7109375" style="74" customWidth="1"/>
    <col min="11271" max="11521" width="11.5703125" style="74"/>
    <col min="11522" max="11522" width="20.7109375" style="74" customWidth="1"/>
    <col min="11523" max="11523" width="11.5703125" style="74"/>
    <col min="11524" max="11525" width="12.28515625" style="74" customWidth="1"/>
    <col min="11526" max="11526" width="21.7109375" style="74" customWidth="1"/>
    <col min="11527" max="11777" width="11.5703125" style="74"/>
    <col min="11778" max="11778" width="20.7109375" style="74" customWidth="1"/>
    <col min="11779" max="11779" width="11.5703125" style="74"/>
    <col min="11780" max="11781" width="12.28515625" style="74" customWidth="1"/>
    <col min="11782" max="11782" width="21.7109375" style="74" customWidth="1"/>
    <col min="11783" max="12033" width="11.5703125" style="74"/>
    <col min="12034" max="12034" width="20.7109375" style="74" customWidth="1"/>
    <col min="12035" max="12035" width="11.5703125" style="74"/>
    <col min="12036" max="12037" width="12.28515625" style="74" customWidth="1"/>
    <col min="12038" max="12038" width="21.7109375" style="74" customWidth="1"/>
    <col min="12039" max="12289" width="11.5703125" style="74"/>
    <col min="12290" max="12290" width="20.7109375" style="74" customWidth="1"/>
    <col min="12291" max="12291" width="11.5703125" style="74"/>
    <col min="12292" max="12293" width="12.28515625" style="74" customWidth="1"/>
    <col min="12294" max="12294" width="21.7109375" style="74" customWidth="1"/>
    <col min="12295" max="12545" width="11.5703125" style="74"/>
    <col min="12546" max="12546" width="20.7109375" style="74" customWidth="1"/>
    <col min="12547" max="12547" width="11.5703125" style="74"/>
    <col min="12548" max="12549" width="12.28515625" style="74" customWidth="1"/>
    <col min="12550" max="12550" width="21.7109375" style="74" customWidth="1"/>
    <col min="12551" max="12801" width="11.5703125" style="74"/>
    <col min="12802" max="12802" width="20.7109375" style="74" customWidth="1"/>
    <col min="12803" max="12803" width="11.5703125" style="74"/>
    <col min="12804" max="12805" width="12.28515625" style="74" customWidth="1"/>
    <col min="12806" max="12806" width="21.7109375" style="74" customWidth="1"/>
    <col min="12807" max="13057" width="11.5703125" style="74"/>
    <col min="13058" max="13058" width="20.7109375" style="74" customWidth="1"/>
    <col min="13059" max="13059" width="11.5703125" style="74"/>
    <col min="13060" max="13061" width="12.28515625" style="74" customWidth="1"/>
    <col min="13062" max="13062" width="21.7109375" style="74" customWidth="1"/>
    <col min="13063" max="13313" width="11.5703125" style="74"/>
    <col min="13314" max="13314" width="20.7109375" style="74" customWidth="1"/>
    <col min="13315" max="13315" width="11.5703125" style="74"/>
    <col min="13316" max="13317" width="12.28515625" style="74" customWidth="1"/>
    <col min="13318" max="13318" width="21.7109375" style="74" customWidth="1"/>
    <col min="13319" max="13569" width="11.5703125" style="74"/>
    <col min="13570" max="13570" width="20.7109375" style="74" customWidth="1"/>
    <col min="13571" max="13571" width="11.5703125" style="74"/>
    <col min="13572" max="13573" width="12.28515625" style="74" customWidth="1"/>
    <col min="13574" max="13574" width="21.7109375" style="74" customWidth="1"/>
    <col min="13575" max="13825" width="11.5703125" style="74"/>
    <col min="13826" max="13826" width="20.7109375" style="74" customWidth="1"/>
    <col min="13827" max="13827" width="11.5703125" style="74"/>
    <col min="13828" max="13829" width="12.28515625" style="74" customWidth="1"/>
    <col min="13830" max="13830" width="21.7109375" style="74" customWidth="1"/>
    <col min="13831" max="14081" width="11.5703125" style="74"/>
    <col min="14082" max="14082" width="20.7109375" style="74" customWidth="1"/>
    <col min="14083" max="14083" width="11.5703125" style="74"/>
    <col min="14084" max="14085" width="12.28515625" style="74" customWidth="1"/>
    <col min="14086" max="14086" width="21.7109375" style="74" customWidth="1"/>
    <col min="14087" max="14337" width="11.5703125" style="74"/>
    <col min="14338" max="14338" width="20.7109375" style="74" customWidth="1"/>
    <col min="14339" max="14339" width="11.5703125" style="74"/>
    <col min="14340" max="14341" width="12.28515625" style="74" customWidth="1"/>
    <col min="14342" max="14342" width="21.7109375" style="74" customWidth="1"/>
    <col min="14343" max="14593" width="11.5703125" style="74"/>
    <col min="14594" max="14594" width="20.7109375" style="74" customWidth="1"/>
    <col min="14595" max="14595" width="11.5703125" style="74"/>
    <col min="14596" max="14597" width="12.28515625" style="74" customWidth="1"/>
    <col min="14598" max="14598" width="21.7109375" style="74" customWidth="1"/>
    <col min="14599" max="14849" width="11.5703125" style="74"/>
    <col min="14850" max="14850" width="20.7109375" style="74" customWidth="1"/>
    <col min="14851" max="14851" width="11.5703125" style="74"/>
    <col min="14852" max="14853" width="12.28515625" style="74" customWidth="1"/>
    <col min="14854" max="14854" width="21.7109375" style="74" customWidth="1"/>
    <col min="14855" max="15105" width="11.5703125" style="74"/>
    <col min="15106" max="15106" width="20.7109375" style="74" customWidth="1"/>
    <col min="15107" max="15107" width="11.5703125" style="74"/>
    <col min="15108" max="15109" width="12.28515625" style="74" customWidth="1"/>
    <col min="15110" max="15110" width="21.7109375" style="74" customWidth="1"/>
    <col min="15111" max="15361" width="11.5703125" style="74"/>
    <col min="15362" max="15362" width="20.7109375" style="74" customWidth="1"/>
    <col min="15363" max="15363" width="11.5703125" style="74"/>
    <col min="15364" max="15365" width="12.28515625" style="74" customWidth="1"/>
    <col min="15366" max="15366" width="21.7109375" style="74" customWidth="1"/>
    <col min="15367" max="15617" width="11.5703125" style="74"/>
    <col min="15618" max="15618" width="20.7109375" style="74" customWidth="1"/>
    <col min="15619" max="15619" width="11.5703125" style="74"/>
    <col min="15620" max="15621" width="12.28515625" style="74" customWidth="1"/>
    <col min="15622" max="15622" width="21.7109375" style="74" customWidth="1"/>
    <col min="15623" max="15873" width="11.5703125" style="74"/>
    <col min="15874" max="15874" width="20.7109375" style="74" customWidth="1"/>
    <col min="15875" max="15875" width="11.5703125" style="74"/>
    <col min="15876" max="15877" width="12.28515625" style="74" customWidth="1"/>
    <col min="15878" max="15878" width="21.7109375" style="74" customWidth="1"/>
    <col min="15879" max="16129" width="11.5703125" style="74"/>
    <col min="16130" max="16130" width="20.7109375" style="74" customWidth="1"/>
    <col min="16131" max="16131" width="11.5703125" style="74"/>
    <col min="16132" max="16133" width="12.28515625" style="74" customWidth="1"/>
    <col min="16134" max="16134" width="21.7109375" style="74" customWidth="1"/>
    <col min="16135" max="16384" width="11.5703125" style="74"/>
  </cols>
  <sheetData>
    <row r="2" spans="2:13" ht="21" customHeight="1" x14ac:dyDescent="0.2">
      <c r="L2" s="188" t="s">
        <v>189</v>
      </c>
    </row>
    <row r="3" spans="2:13" ht="21" customHeight="1" thickBot="1" x14ac:dyDescent="0.25">
      <c r="B3" s="233"/>
      <c r="C3" s="233"/>
      <c r="D3" s="233"/>
      <c r="E3" s="233"/>
      <c r="F3" s="233"/>
      <c r="G3" s="233"/>
      <c r="H3" s="233"/>
      <c r="I3" s="233"/>
      <c r="J3" s="233"/>
      <c r="L3" s="189" t="s">
        <v>190</v>
      </c>
    </row>
    <row r="4" spans="2:13" ht="14.25" customHeight="1" x14ac:dyDescent="0.2"/>
    <row r="5" spans="2:13" ht="15" x14ac:dyDescent="0.25">
      <c r="B5" s="238" t="s">
        <v>193</v>
      </c>
      <c r="C5" s="238"/>
      <c r="D5" s="238"/>
      <c r="E5" s="238"/>
      <c r="F5" s="238"/>
      <c r="G5" s="238"/>
      <c r="H5" s="238"/>
      <c r="I5" s="238"/>
      <c r="J5" s="238"/>
    </row>
    <row r="6" spans="2:13" x14ac:dyDescent="0.2">
      <c r="B6" s="239" t="str">
        <f>Aux!$V$5</f>
        <v>Abril 2025</v>
      </c>
      <c r="C6" s="239"/>
      <c r="D6" s="239"/>
      <c r="E6" s="239"/>
      <c r="F6" s="239"/>
      <c r="G6" s="239"/>
      <c r="H6" s="239"/>
      <c r="I6" s="239"/>
      <c r="J6" s="239"/>
    </row>
    <row r="7" spans="2:13" ht="23.25" customHeight="1" x14ac:dyDescent="0.2">
      <c r="M7" s="74" t="s">
        <v>213</v>
      </c>
    </row>
    <row r="8" spans="2:13" x14ac:dyDescent="0.2">
      <c r="L8" s="175"/>
    </row>
    <row r="9" spans="2:13" ht="15" thickBot="1" x14ac:dyDescent="0.25">
      <c r="D9" s="237" t="str">
        <f>Aux!W5</f>
        <v>ene-abr 2025</v>
      </c>
      <c r="E9" s="237" t="s">
        <v>221</v>
      </c>
      <c r="F9" s="75"/>
      <c r="G9" s="232" t="str">
        <f>Aux!W6</f>
        <v>ene-abr 2024</v>
      </c>
      <c r="H9" s="232" t="str">
        <f>Aux!W5</f>
        <v>ene-abr 2025</v>
      </c>
      <c r="I9" s="76" t="s">
        <v>138</v>
      </c>
    </row>
    <row r="10" spans="2:13" ht="15.75" customHeight="1" thickBot="1" x14ac:dyDescent="0.25">
      <c r="B10" s="258"/>
      <c r="C10" s="253" t="s">
        <v>222</v>
      </c>
      <c r="D10" s="255">
        <f>'CA Informe'!T9</f>
        <v>12.640182455592679</v>
      </c>
      <c r="E10" s="255">
        <f>'CA Informe'!T11</f>
        <v>-244.26290338704808</v>
      </c>
      <c r="F10" s="77" t="s">
        <v>98</v>
      </c>
      <c r="G10" s="78">
        <f>'CA Informe'!U13</f>
        <v>15733.878077495003</v>
      </c>
      <c r="H10" s="78">
        <f>'CA Informe'!T13</f>
        <v>17204.768565810002</v>
      </c>
      <c r="I10" s="79">
        <f>+H10/G10-1</f>
        <v>9.3485565419430205E-2</v>
      </c>
    </row>
    <row r="11" spans="2:13" x14ac:dyDescent="0.2">
      <c r="B11" s="258"/>
      <c r="C11" s="253"/>
      <c r="D11" s="255"/>
      <c r="E11" s="255"/>
      <c r="F11" s="80" t="str">
        <f>+'1'!A13</f>
        <v xml:space="preserve">Ingresos Tributarios </v>
      </c>
      <c r="G11" s="81">
        <f>'CA Informe'!U14</f>
        <v>12015.707473808001</v>
      </c>
      <c r="H11" s="81">
        <f>'CA Informe'!T14</f>
        <v>13278.945735234001</v>
      </c>
      <c r="I11" s="82">
        <f>+H11/G11-1</f>
        <v>0.1051322416245255</v>
      </c>
    </row>
    <row r="12" spans="2:13" x14ac:dyDescent="0.2">
      <c r="B12" s="258"/>
      <c r="C12" s="253"/>
      <c r="D12" s="255"/>
      <c r="E12" s="255"/>
      <c r="F12" s="80" t="str">
        <f>+'1'!A15</f>
        <v>Contribuciones sociales</v>
      </c>
      <c r="G12" s="81">
        <f>'CA Informe'!U17</f>
        <v>1097.2662328710001</v>
      </c>
      <c r="H12" s="81">
        <f>'CA Informe'!T17</f>
        <v>1119.6314853509998</v>
      </c>
      <c r="I12" s="82">
        <f>+H12/G12-1</f>
        <v>2.0382703677557901E-2</v>
      </c>
    </row>
    <row r="13" spans="2:13" ht="15" customHeight="1" x14ac:dyDescent="0.2">
      <c r="B13" s="259"/>
      <c r="C13" s="254" t="s">
        <v>215</v>
      </c>
      <c r="D13" s="256">
        <f>'CA Informe'!T10*100</f>
        <v>2.9568341432526124E-2</v>
      </c>
      <c r="E13" s="257">
        <f>'CA Informe'!T12*100</f>
        <v>-0.58226592341408456</v>
      </c>
      <c r="F13" s="83" t="str">
        <f>+'1'!A17</f>
        <v>Donaciones</v>
      </c>
      <c r="G13" s="84">
        <f>'CA Informe'!U18</f>
        <v>579.38410528500003</v>
      </c>
      <c r="H13" s="84">
        <f>'CA Informe'!T18</f>
        <v>519.73468122399993</v>
      </c>
      <c r="I13" s="85">
        <f>+H13/G13-1</f>
        <v>-0.10295315925461646</v>
      </c>
    </row>
    <row r="14" spans="2:13" x14ac:dyDescent="0.2">
      <c r="B14" s="259"/>
      <c r="C14" s="254"/>
      <c r="D14" s="256"/>
      <c r="E14" s="257"/>
      <c r="F14" s="86" t="str">
        <f>+'1'!A27</f>
        <v>Otros ingresos</v>
      </c>
      <c r="G14" s="87">
        <f>'CA Informe'!U19</f>
        <v>2041.5202655309999</v>
      </c>
      <c r="H14" s="216">
        <f>'CA Informe'!T19</f>
        <v>2286.4566640009998</v>
      </c>
      <c r="I14" s="88">
        <f>+H14/G14-1</f>
        <v>0.11997745141476313</v>
      </c>
    </row>
    <row r="15" spans="2:13" x14ac:dyDescent="0.2">
      <c r="B15" s="259"/>
      <c r="C15" s="254"/>
      <c r="D15" s="256"/>
      <c r="E15" s="257"/>
      <c r="F15" s="89" t="s">
        <v>139</v>
      </c>
    </row>
    <row r="16" spans="2:13" ht="14.25" customHeight="1" x14ac:dyDescent="0.2">
      <c r="B16" s="258"/>
      <c r="C16" s="253" t="s">
        <v>222</v>
      </c>
      <c r="D16" s="255"/>
      <c r="E16" s="255"/>
    </row>
    <row r="17" spans="2:14" ht="14.25" customHeight="1" x14ac:dyDescent="0.2">
      <c r="B17" s="258"/>
      <c r="C17" s="253"/>
      <c r="D17" s="255"/>
      <c r="E17" s="255"/>
    </row>
    <row r="18" spans="2:14" ht="14.25" customHeight="1" x14ac:dyDescent="0.2">
      <c r="B18" s="258"/>
      <c r="C18" s="253"/>
      <c r="D18" s="255"/>
      <c r="E18" s="255"/>
    </row>
    <row r="19" spans="2:14" ht="14.25" customHeight="1" x14ac:dyDescent="0.2">
      <c r="B19" s="259"/>
      <c r="C19" s="254" t="s">
        <v>215</v>
      </c>
      <c r="D19" s="257"/>
      <c r="E19" s="257"/>
    </row>
    <row r="20" spans="2:14" ht="14.25" customHeight="1" x14ac:dyDescent="0.2">
      <c r="B20" s="259"/>
      <c r="C20" s="254"/>
      <c r="D20" s="257"/>
      <c r="E20" s="257"/>
    </row>
    <row r="21" spans="2:14" ht="14.25" customHeight="1" x14ac:dyDescent="0.2">
      <c r="B21" s="259"/>
      <c r="C21" s="254"/>
      <c r="D21" s="257"/>
      <c r="E21" s="257"/>
    </row>
    <row r="22" spans="2:14" ht="14.25" customHeight="1" x14ac:dyDescent="0.2">
      <c r="B22" s="258"/>
      <c r="C22" s="253" t="s">
        <v>222</v>
      </c>
      <c r="D22" s="255">
        <f>'CA Informe'!T4</f>
        <v>-248.81067929473511</v>
      </c>
      <c r="E22" s="255">
        <f>'CA Informe'!T6</f>
        <v>-1163.443329895319</v>
      </c>
    </row>
    <row r="23" spans="2:14" ht="14.25" customHeight="1" x14ac:dyDescent="0.2">
      <c r="B23" s="258"/>
      <c r="C23" s="253"/>
      <c r="D23" s="255"/>
      <c r="E23" s="255"/>
    </row>
    <row r="24" spans="2:14" ht="14.25" customHeight="1" x14ac:dyDescent="0.2">
      <c r="B24" s="258"/>
      <c r="C24" s="253"/>
      <c r="D24" s="255"/>
      <c r="E24" s="255"/>
    </row>
    <row r="25" spans="2:14" ht="14.25" customHeight="1" x14ac:dyDescent="0.2">
      <c r="B25" s="260"/>
      <c r="C25" s="254" t="s">
        <v>215</v>
      </c>
      <c r="D25" s="257">
        <f>'CA Informe'!T5*100</f>
        <v>-0.54000454976350409</v>
      </c>
      <c r="E25" s="257">
        <f>'CA Informe'!T7*100</f>
        <v>-2.6557191698456712</v>
      </c>
    </row>
    <row r="26" spans="2:14" ht="14.25" customHeight="1" x14ac:dyDescent="0.2">
      <c r="B26" s="260"/>
      <c r="C26" s="254"/>
      <c r="D26" s="257"/>
      <c r="E26" s="257"/>
    </row>
    <row r="27" spans="2:14" ht="14.25" customHeight="1" x14ac:dyDescent="0.2">
      <c r="B27" s="260"/>
      <c r="C27" s="254"/>
      <c r="D27" s="257"/>
      <c r="E27" s="257"/>
    </row>
    <row r="31" spans="2:14" ht="15" thickBot="1" x14ac:dyDescent="0.25">
      <c r="C31" s="232" t="str">
        <f>Aux!W6</f>
        <v>ene-abr 2024</v>
      </c>
      <c r="D31" s="232" t="str">
        <f>Aux!W5</f>
        <v>ene-abr 2025</v>
      </c>
      <c r="E31" s="90" t="s">
        <v>138</v>
      </c>
    </row>
    <row r="32" spans="2:14" ht="15" thickBot="1" x14ac:dyDescent="0.25">
      <c r="B32" s="91" t="s">
        <v>140</v>
      </c>
      <c r="C32" s="91">
        <f>'CA Informe'!U20</f>
        <v>15899.302351802002</v>
      </c>
      <c r="D32" s="91">
        <f>'CA Informe'!T20</f>
        <v>17097.166926234</v>
      </c>
      <c r="E32" s="92">
        <f>+D32/C32-1</f>
        <v>7.5340700360744695E-2</v>
      </c>
      <c r="N32" s="169"/>
    </row>
    <row r="33" spans="2:15" x14ac:dyDescent="0.2">
      <c r="B33" s="94" t="str">
        <f>+'1'!A37</f>
        <v>Remuneración a los empleados</v>
      </c>
      <c r="C33" s="95">
        <f>'CA Informe'!U21</f>
        <v>6614.8130605860006</v>
      </c>
      <c r="D33" s="95">
        <f>'CA Informe'!T21</f>
        <v>7127.8432016309998</v>
      </c>
      <c r="E33" s="96">
        <f t="shared" ref="E33:E38" si="0">+D33/C33-1</f>
        <v>7.7557768654394899E-2</v>
      </c>
      <c r="F33" s="93"/>
    </row>
    <row r="34" spans="2:15" x14ac:dyDescent="0.2">
      <c r="B34" s="84" t="str">
        <f>+'1'!A38</f>
        <v>Uso de bienes y servicios</v>
      </c>
      <c r="C34" s="229">
        <f>'CA Informe'!U22</f>
        <v>2276.570273327</v>
      </c>
      <c r="D34" s="84">
        <f>'CA Informe'!T22</f>
        <v>1998.3193255489998</v>
      </c>
      <c r="E34" s="85">
        <f t="shared" si="0"/>
        <v>-0.12222374641278333</v>
      </c>
      <c r="F34" s="85"/>
    </row>
    <row r="35" spans="2:15" x14ac:dyDescent="0.2">
      <c r="B35" s="84" t="str">
        <f>+'1'!A43</f>
        <v>Intereses</v>
      </c>
      <c r="C35" s="84">
        <f>'CA Informe'!U23</f>
        <v>1983.9199207250001</v>
      </c>
      <c r="D35" s="84">
        <f>'CA Informe'!T23</f>
        <v>2317.1339911170003</v>
      </c>
      <c r="E35" s="85">
        <f t="shared" si="0"/>
        <v>0.16795741950624254</v>
      </c>
      <c r="F35" s="85"/>
      <c r="L35" s="169"/>
      <c r="M35" s="169"/>
    </row>
    <row r="36" spans="2:15" ht="19.149999999999999" customHeight="1" x14ac:dyDescent="0.2">
      <c r="B36" s="84" t="str">
        <f>+'1'!A47</f>
        <v>Donaciones</v>
      </c>
      <c r="C36" s="84">
        <f>'CA Informe'!U24</f>
        <v>1626.4445473119999</v>
      </c>
      <c r="D36" s="84">
        <f>'CA Informe'!T24</f>
        <v>1844.0390065999998</v>
      </c>
      <c r="E36" s="85">
        <f t="shared" si="0"/>
        <v>0.13378535385520207</v>
      </c>
      <c r="F36" s="85"/>
      <c r="M36" s="169"/>
    </row>
    <row r="37" spans="2:15" x14ac:dyDescent="0.2">
      <c r="B37" s="84" t="str">
        <f>+'1'!A57</f>
        <v>Prestaciones sociales</v>
      </c>
      <c r="C37" s="84">
        <f>'CA Informe'!U25</f>
        <v>2943.4990035119999</v>
      </c>
      <c r="D37" s="84">
        <f>'CA Informe'!T25</f>
        <v>3355.5823372979994</v>
      </c>
      <c r="E37" s="85">
        <f t="shared" si="0"/>
        <v>0.13999778267100726</v>
      </c>
      <c r="F37" s="85"/>
      <c r="L37" s="169"/>
      <c r="M37" s="169"/>
      <c r="N37" s="169"/>
    </row>
    <row r="38" spans="2:15" x14ac:dyDescent="0.2">
      <c r="B38" s="97" t="str">
        <f>+'1'!A61</f>
        <v>Otros gastos</v>
      </c>
      <c r="C38" s="97">
        <f>'CA Informe'!U26</f>
        <v>454.05554633999998</v>
      </c>
      <c r="D38" s="97">
        <f>'CA Informe'!T26</f>
        <v>454.24906403900002</v>
      </c>
      <c r="E38" s="98">
        <f t="shared" si="0"/>
        <v>4.2619829349055394E-4</v>
      </c>
      <c r="F38" s="85"/>
      <c r="M38" s="169"/>
      <c r="N38" s="169"/>
    </row>
    <row r="39" spans="2:15" x14ac:dyDescent="0.2">
      <c r="B39" s="99" t="s">
        <v>141</v>
      </c>
      <c r="F39" s="85"/>
      <c r="M39" s="169"/>
      <c r="N39" s="169"/>
    </row>
    <row r="40" spans="2:15" x14ac:dyDescent="0.2">
      <c r="F40" s="75"/>
      <c r="H40" s="179"/>
      <c r="I40" s="180"/>
      <c r="M40" s="169"/>
      <c r="N40" s="169"/>
    </row>
    <row r="41" spans="2:15" x14ac:dyDescent="0.2">
      <c r="H41" s="179"/>
      <c r="I41" s="180"/>
      <c r="M41" s="169"/>
      <c r="N41" s="169"/>
      <c r="O41" s="169"/>
    </row>
    <row r="42" spans="2:15" x14ac:dyDescent="0.2">
      <c r="H42" s="179"/>
      <c r="I42" s="180"/>
      <c r="L42" s="169"/>
      <c r="M42" s="169"/>
      <c r="N42" s="169"/>
    </row>
    <row r="43" spans="2:15" x14ac:dyDescent="0.2">
      <c r="H43" s="181"/>
      <c r="I43" s="180"/>
      <c r="M43" s="169"/>
      <c r="N43" s="169"/>
    </row>
    <row r="44" spans="2:15" x14ac:dyDescent="0.2">
      <c r="H44" s="179"/>
      <c r="I44" s="180"/>
      <c r="M44" s="169"/>
      <c r="N44" s="169"/>
    </row>
    <row r="45" spans="2:15" x14ac:dyDescent="0.2">
      <c r="M45" s="169"/>
      <c r="N45" s="169"/>
    </row>
    <row r="46" spans="2:15" x14ac:dyDescent="0.2">
      <c r="M46" s="169"/>
      <c r="N46" s="169"/>
    </row>
    <row r="48" spans="2:15" x14ac:dyDescent="0.2">
      <c r="M48" s="169"/>
    </row>
    <row r="49" spans="8:14" x14ac:dyDescent="0.2">
      <c r="M49" s="169"/>
      <c r="N49" s="169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ht="15" x14ac:dyDescent="0.25">
      <c r="H67" s="177"/>
      <c r="I67" s="177"/>
      <c r="J67" s="178"/>
    </row>
    <row r="68" spans="8:10" x14ac:dyDescent="0.2">
      <c r="H68" s="176"/>
      <c r="I68" s="176"/>
    </row>
    <row r="69" spans="8:10" x14ac:dyDescent="0.2">
      <c r="H69" s="176"/>
      <c r="I69" s="176"/>
    </row>
  </sheetData>
  <mergeCells count="26">
    <mergeCell ref="B22:B24"/>
    <mergeCell ref="B25:B27"/>
    <mergeCell ref="D16:D18"/>
    <mergeCell ref="E16:E18"/>
    <mergeCell ref="D19:D21"/>
    <mergeCell ref="E19:E21"/>
    <mergeCell ref="D22:D24"/>
    <mergeCell ref="E22:E24"/>
    <mergeCell ref="C16:C18"/>
    <mergeCell ref="C19:C21"/>
    <mergeCell ref="C22:C24"/>
    <mergeCell ref="C25:C27"/>
    <mergeCell ref="D25:D27"/>
    <mergeCell ref="E25:E27"/>
    <mergeCell ref="B16:B18"/>
    <mergeCell ref="B19:B21"/>
    <mergeCell ref="B5:J5"/>
    <mergeCell ref="B6:J6"/>
    <mergeCell ref="C10:C12"/>
    <mergeCell ref="C13:C15"/>
    <mergeCell ref="D10:D12"/>
    <mergeCell ref="E10:E12"/>
    <mergeCell ref="D13:D15"/>
    <mergeCell ref="E13:E15"/>
    <mergeCell ref="B10:B12"/>
    <mergeCell ref="B13:B15"/>
  </mergeCells>
  <hyperlinks>
    <hyperlink ref="L2" location="'1'!A1" display="SITUFIN Acumulado" xr:uid="{78529BFE-01B8-4F24-9B20-1E6A583CD4B8}"/>
    <hyperlink ref="L3" location="'2'!A1" display="SITUFIN por mes" xr:uid="{FC33B73F-6EDE-4E50-8439-646BB08E4F4B}"/>
  </hyperlink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DE93DF6-EED4-443F-BEFB-DF5CA26D3E86}">
  <ds:schemaRefs/>
</ds:datastoreItem>
</file>

<file path=customXml/itemProps2.xml><?xml version="1.0" encoding="utf-8"?>
<ds:datastoreItem xmlns:ds="http://schemas.openxmlformats.org/officeDocument/2006/customXml" ds:itemID="{3E711774-95B6-4A82-984E-8287B4BFC2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Informe</vt:lpstr>
      <vt:lpstr>1</vt:lpstr>
      <vt:lpstr>2</vt:lpstr>
      <vt:lpstr>CA Informe</vt:lpstr>
      <vt:lpstr>Situfin serie mensual</vt:lpstr>
      <vt:lpstr>Aux</vt:lpstr>
      <vt:lpstr>Informe (2)</vt:lpstr>
      <vt:lpstr>Informe (3)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2025-05-16T12:51:26Z</dcterms:modified>
</cp:coreProperties>
</file>