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7.xml" ContentType="application/vnd.openxmlformats-officedocument.drawing+xml"/>
  <Override PartName="/xl/slicers/slicer3.xml" ContentType="application/vnd.ms-excel.slicer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6\SITUFIN\Informes y presentaciones mensuales\02 Febrero\vf\"/>
    </mc:Choice>
  </mc:AlternateContent>
  <xr:revisionPtr revIDLastSave="0" documentId="13_ncr:1_{032BDB70-C5EC-4EE5-AA04-174C368C0B1C}" xr6:coauthVersionLast="47" xr6:coauthVersionMax="47" xr10:uidLastSave="{00000000-0000-0000-0000-000000000000}"/>
  <bookViews>
    <workbookView showSheetTabs="0" xWindow="-110" yWindow="-110" windowWidth="25820" windowHeight="1550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  <sheet name="Informe (2)" sheetId="15" state="hidden" r:id="rId7"/>
    <sheet name="Informe (3)" sheetId="17" state="hidden" r:id="rId8"/>
  </sheets>
  <definedNames>
    <definedName name="_xlnm.Print_Area" localSheetId="1">'1'!$A$1:$H$105</definedName>
    <definedName name="Meses">Aux!$A$3:$B$14</definedName>
    <definedName name="PIBNOMG">Aux!$D$2:$E$26</definedName>
    <definedName name="SegmentaciónDeDatos_Año1">#N/A</definedName>
    <definedName name="SegmentaciónDeDatos_Mes">#N/A</definedName>
    <definedName name="serie_situfin">'Situfin serie mensual'!$A$1:$KC$96</definedName>
    <definedName name="TC_mes">Aux!$H$3:$I$300</definedName>
    <definedName name="tipo_cambio">Aux!$G$3:$I$350</definedName>
  </definedNames>
  <calcPr calcId="191029"/>
  <pivotCaches>
    <pivotCache cacheId="142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7" i="13" l="1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T12" i="10"/>
  <c r="T7" i="10"/>
  <c r="C18" i="14" l="1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C16" i="14"/>
  <c r="D16" i="14"/>
  <c r="E16" i="14"/>
  <c r="F16" i="14"/>
  <c r="G16" i="14"/>
  <c r="H16" i="14"/>
  <c r="I16" i="14"/>
  <c r="J16" i="14"/>
  <c r="K16" i="14"/>
  <c r="L16" i="14"/>
  <c r="M16" i="14"/>
  <c r="B16" i="14"/>
  <c r="C14" i="14"/>
  <c r="D14" i="14"/>
  <c r="E14" i="14"/>
  <c r="F14" i="14"/>
  <c r="G14" i="14"/>
  <c r="H14" i="14"/>
  <c r="I14" i="14"/>
  <c r="J14" i="14"/>
  <c r="K14" i="14"/>
  <c r="L14" i="14"/>
  <c r="M14" i="14"/>
  <c r="B14" i="14"/>
  <c r="C12" i="14"/>
  <c r="D12" i="14"/>
  <c r="E12" i="14"/>
  <c r="F12" i="14"/>
  <c r="G12" i="14"/>
  <c r="H12" i="14"/>
  <c r="I12" i="14"/>
  <c r="J12" i="14"/>
  <c r="K12" i="14"/>
  <c r="L12" i="14"/>
  <c r="M12" i="14"/>
  <c r="B12" i="14"/>
  <c r="G279" i="3" l="1"/>
  <c r="G280" i="3"/>
  <c r="G281" i="3"/>
  <c r="G282" i="3"/>
  <c r="G283" i="3"/>
  <c r="G284" i="3"/>
  <c r="G285" i="3"/>
  <c r="G286" i="3"/>
  <c r="G287" i="3"/>
  <c r="G288" i="3"/>
  <c r="G289" i="3"/>
  <c r="G290" i="3"/>
  <c r="T32" i="10"/>
  <c r="T31" i="10" l="1"/>
  <c r="B38" i="17" l="1"/>
  <c r="B37" i="17"/>
  <c r="B36" i="17"/>
  <c r="B35" i="17"/>
  <c r="B34" i="17"/>
  <c r="B33" i="17"/>
  <c r="F14" i="17"/>
  <c r="F13" i="17"/>
  <c r="F12" i="17"/>
  <c r="F11" i="17"/>
  <c r="U35" i="10"/>
  <c r="O15" i="15" s="1"/>
  <c r="T35" i="10"/>
  <c r="P15" i="15" s="1"/>
  <c r="Q15" i="15" l="1"/>
  <c r="B37" i="15"/>
  <c r="B36" i="15"/>
  <c r="B35" i="15"/>
  <c r="B34" i="15"/>
  <c r="B33" i="15"/>
  <c r="B32" i="15"/>
  <c r="F14" i="15"/>
  <c r="F13" i="15"/>
  <c r="F12" i="15"/>
  <c r="F11" i="15"/>
  <c r="C17" i="14" l="1"/>
  <c r="D17" i="14"/>
  <c r="E17" i="14"/>
  <c r="F17" i="14"/>
  <c r="G17" i="14"/>
  <c r="H17" i="14"/>
  <c r="I17" i="14"/>
  <c r="J17" i="14"/>
  <c r="K17" i="14"/>
  <c r="L17" i="14"/>
  <c r="M17" i="14"/>
  <c r="B17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G13" i="15" l="1"/>
  <c r="G13" i="17"/>
  <c r="O13" i="15"/>
  <c r="G14" i="15"/>
  <c r="O14" i="15"/>
  <c r="O16" i="15" s="1"/>
  <c r="G14" i="17"/>
  <c r="H12" i="15"/>
  <c r="P12" i="15"/>
  <c r="H12" i="17"/>
  <c r="G12" i="15"/>
  <c r="O12" i="15"/>
  <c r="G12" i="17"/>
  <c r="H14" i="15"/>
  <c r="P14" i="15"/>
  <c r="H14" i="17"/>
  <c r="H13" i="15"/>
  <c r="P13" i="15"/>
  <c r="H13" i="17"/>
  <c r="T8" i="10"/>
  <c r="T6" i="10"/>
  <c r="E22" i="17" s="1"/>
  <c r="U11" i="10"/>
  <c r="T11" i="10"/>
  <c r="E10" i="17" s="1"/>
  <c r="U6" i="10"/>
  <c r="U8" i="10"/>
  <c r="I13" i="15" l="1"/>
  <c r="I14" i="15"/>
  <c r="Q13" i="15"/>
  <c r="I13" i="17"/>
  <c r="I12" i="15"/>
  <c r="I14" i="17"/>
  <c r="I12" i="17"/>
  <c r="P16" i="15"/>
  <c r="Q16" i="15" s="1"/>
  <c r="Q14" i="15"/>
  <c r="Q12" i="15"/>
  <c r="F16" i="13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E13" i="17"/>
  <c r="U7" i="10"/>
  <c r="E25" i="17"/>
  <c r="U5" i="10"/>
  <c r="T5" i="10"/>
  <c r="D25" i="17" s="1"/>
  <c r="U10" i="10"/>
  <c r="T10" i="10"/>
  <c r="D13" i="17" s="1"/>
  <c r="U9" i="10"/>
  <c r="T9" i="10"/>
  <c r="D10" i="17" s="1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C38" i="17" s="1"/>
  <c r="T26" i="10"/>
  <c r="D38" i="17" s="1"/>
  <c r="U25" i="10"/>
  <c r="C37" i="17" s="1"/>
  <c r="T25" i="10"/>
  <c r="D37" i="17" s="1"/>
  <c r="U24" i="10"/>
  <c r="C36" i="17" s="1"/>
  <c r="T24" i="10"/>
  <c r="D36" i="17" s="1"/>
  <c r="U23" i="10"/>
  <c r="C35" i="17" s="1"/>
  <c r="T23" i="10"/>
  <c r="D35" i="17" s="1"/>
  <c r="U22" i="10"/>
  <c r="C34" i="17" s="1"/>
  <c r="T22" i="10"/>
  <c r="D34" i="17" s="1"/>
  <c r="U21" i="10"/>
  <c r="C33" i="17" s="1"/>
  <c r="T21" i="10"/>
  <c r="D33" i="17" s="1"/>
  <c r="U20" i="10"/>
  <c r="C32" i="17" s="1"/>
  <c r="T20" i="10"/>
  <c r="D32" i="17" s="1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D22" i="17" s="1"/>
  <c r="C30" i="12" l="1"/>
  <c r="G9" i="12"/>
  <c r="D30" i="12"/>
  <c r="H9" i="12"/>
  <c r="E33" i="17"/>
  <c r="T43" i="10"/>
  <c r="T44" i="10" s="1"/>
  <c r="E34" i="17"/>
  <c r="E36" i="17"/>
  <c r="E37" i="17"/>
  <c r="P10" i="15"/>
  <c r="H10" i="17"/>
  <c r="E32" i="17"/>
  <c r="E38" i="17"/>
  <c r="O10" i="15"/>
  <c r="G10" i="17"/>
  <c r="D9" i="17"/>
  <c r="H9" i="17"/>
  <c r="D31" i="17"/>
  <c r="H11" i="17"/>
  <c r="P11" i="15"/>
  <c r="G9" i="17"/>
  <c r="C31" i="17"/>
  <c r="G11" i="17"/>
  <c r="O11" i="15"/>
  <c r="E35" i="17"/>
  <c r="C36" i="12"/>
  <c r="C36" i="15"/>
  <c r="D31" i="12"/>
  <c r="D31" i="15"/>
  <c r="D37" i="12"/>
  <c r="D37" i="15"/>
  <c r="C31" i="12"/>
  <c r="C31" i="15"/>
  <c r="C37" i="12"/>
  <c r="C37" i="15"/>
  <c r="X9" i="15"/>
  <c r="D30" i="15"/>
  <c r="P9" i="15"/>
  <c r="H9" i="15"/>
  <c r="D32" i="12"/>
  <c r="D32" i="15"/>
  <c r="C30" i="15"/>
  <c r="W9" i="15"/>
  <c r="O9" i="15"/>
  <c r="G9" i="15"/>
  <c r="C32" i="12"/>
  <c r="C32" i="15"/>
  <c r="D33" i="12"/>
  <c r="D33" i="15"/>
  <c r="C33" i="12"/>
  <c r="C33" i="15"/>
  <c r="D34" i="12"/>
  <c r="D34" i="15"/>
  <c r="C34" i="12"/>
  <c r="C34" i="15"/>
  <c r="D35" i="12"/>
  <c r="D35" i="15"/>
  <c r="C35" i="12"/>
  <c r="C35" i="15"/>
  <c r="D36" i="12"/>
  <c r="D36" i="15"/>
  <c r="H10" i="12"/>
  <c r="H10" i="15"/>
  <c r="G10" i="12"/>
  <c r="G10" i="15"/>
  <c r="H11" i="12"/>
  <c r="H11" i="15"/>
  <c r="G11" i="12"/>
  <c r="G11" i="15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B6" i="17" s="1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I11" i="12" l="1"/>
  <c r="E34" i="12"/>
  <c r="E31" i="12"/>
  <c r="E36" i="15"/>
  <c r="E35" i="12"/>
  <c r="E32" i="12"/>
  <c r="E37" i="12"/>
  <c r="I10" i="12"/>
  <c r="E33" i="12"/>
  <c r="E35" i="15"/>
  <c r="E36" i="12"/>
  <c r="Q11" i="15"/>
  <c r="I11" i="17"/>
  <c r="E33" i="15"/>
  <c r="I10" i="17"/>
  <c r="Q10" i="15"/>
  <c r="E37" i="15"/>
  <c r="E34" i="15"/>
  <c r="E32" i="15"/>
  <c r="E31" i="15"/>
  <c r="B6" i="12"/>
  <c r="B6" i="15"/>
  <c r="I11" i="15"/>
  <c r="I10" i="15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5" authorId="0" shapeId="0" xr:uid="{9981A4EC-947C-42D4-BC02-5E6694A456E4}">
      <text>
        <r>
          <rPr>
            <sz val="9"/>
            <color indexed="81"/>
            <rFont val="Tahoma"/>
            <family val="2"/>
          </rPr>
          <t>Fuente: Anexo Estadístico del Informe Económico del BCP - diciembre 2025</t>
        </r>
      </text>
    </comment>
    <comment ref="E26" authorId="0" shapeId="0" xr:uid="{FE6FE6DB-B57E-4F76-A9D1-9C9D3F955A34}">
      <text>
        <r>
          <rPr>
            <sz val="9"/>
            <color indexed="81"/>
            <rFont val="Tahoma"/>
            <family val="2"/>
          </rPr>
          <t>Fuente: Escenario macro DGPMF 22-12-25. (crecimiento real de 4,2%, superior a lo estimado por el BCP)</t>
        </r>
      </text>
    </comment>
  </commentList>
</comments>
</file>

<file path=xl/sharedStrings.xml><?xml version="1.0" encoding="utf-8"?>
<sst xmlns="http://schemas.openxmlformats.org/spreadsheetml/2006/main" count="505" uniqueCount="223">
  <si>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</si>
  <si>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</si>
  <si>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</si>
  <si>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</si>
  <si>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</si>
  <si>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</si>
  <si>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</si>
  <si>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</si>
  <si>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</si>
  <si>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</si>
  <si>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</si>
  <si>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</si>
  <si>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</si>
  <si>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</si>
  <si>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</si>
  <si>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</si>
  <si>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</si>
  <si>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</si>
  <si>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</si>
  <si>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</si>
  <si>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</si>
  <si>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</si>
  <si>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</si>
  <si>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</si>
  <si>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</si>
  <si>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</si>
  <si>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</si>
  <si>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</si>
  <si>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</si>
  <si>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</si>
  <si>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</si>
  <si>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</si>
  <si>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</si>
  <si>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</si>
  <si>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</si>
  <si>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</si>
  <si>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</si>
  <si>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</si>
  <si>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</si>
  <si>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</si>
  <si>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</si>
  <si>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</si>
  <si>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</si>
  <si>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</si>
  <si>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</si>
  <si>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</si>
  <si>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</si>
  <si>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</si>
  <si>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</si>
  <si>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</si>
  <si>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</si>
  <si>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</si>
  <si>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</si>
  <si>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</si>
  <si>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</si>
  <si>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</si>
  <si>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</si>
  <si>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</si>
  <si>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</si>
  <si>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</si>
  <si>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</si>
  <si>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</si>
  <si>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</si>
  <si>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</si>
  <si>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</si>
  <si>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</si>
  <si>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</si>
  <si>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</si>
  <si>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</si>
  <si>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</si>
  <si>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</si>
  <si>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</si>
  <si>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</si>
  <si>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</si>
  <si>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</si>
  <si>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</si>
  <si>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</si>
  <si>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</si>
  <si>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</si>
  <si>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</si>
  <si>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</si>
  <si>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</si>
  <si>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</si>
  <si>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</si>
  <si>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</si>
  <si>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</si>
  <si>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</si>
  <si>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</si>
  <si>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</si>
  <si>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</si>
  <si>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</si>
  <si>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</si>
  <si>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Binacionales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</si>
  <si>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</si>
  <si>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</si>
  <si>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</si>
  <si>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</si>
  <si>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</si>
  <si>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</si>
  <si>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</si>
  <si>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</si>
  <si>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</si>
  <si>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</si>
  <si>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</si>
  <si>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</si>
  <si>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</si>
  <si>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</si>
  <si>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</si>
  <si>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</si>
  <si>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</si>
  <si>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</si>
  <si>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</si>
  <si>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</si>
  <si>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</si>
  <si>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</si>
  <si>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</si>
  <si>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</si>
  <si>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</si>
  <si>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</si>
  <si>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</si>
  <si>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</si>
  <si>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</si>
  <si>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</si>
  <si>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</si>
  <si>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</si>
  <si>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</si>
  <si>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</si>
  <si>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</si>
  <si>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</si>
  <si>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</si>
  <si>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</si>
  <si>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</si>
  <si>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</si>
  <si>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</si>
  <si>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</si>
  <si>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</si>
  <si>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</si>
  <si>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</si>
  <si>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</si>
  <si>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</si>
  <si>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</si>
  <si>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</si>
  <si>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</si>
  <si>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</si>
  <si>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</si>
  <si>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</si>
  <si>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</si>
  <si>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</si>
  <si>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</si>
  <si>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</si>
  <si>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</si>
  <si>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</si>
  <si>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</si>
  <si>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</si>
  <si>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</si>
  <si>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</si>
  <si>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</si>
  <si>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</si>
  <si>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</si>
  <si>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</si>
  <si>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</si>
  <si>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</si>
  <si>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</si>
  <si>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</si>
  <si>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</si>
  <si>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</si>
  <si>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</si>
  <si>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</si>
  <si>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</si>
  <si>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</si>
  <si>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</si>
  <si>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</si>
  <si>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</si>
  <si>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</si>
  <si>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</si>
  <si>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</si>
  <si>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</si>
  <si>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</si>
  <si>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</si>
  <si>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</si>
  <si>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</si>
  <si>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</si>
  <si>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</si>
  <si>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</si>
  <si>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</si>
  <si>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</si>
  <si>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</si>
  <si>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</si>
  <si>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</si>
  <si>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</si>
  <si>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</si>
  <si>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</si>
  <si>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</si>
  <si>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</si>
  <si>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</si>
  <si>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</si>
  <si>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</si>
  <si>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</si>
  <si>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</si>
  <si>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feb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</si>
  <si>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</si>
  <si>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</si>
  <si>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</si>
  <si>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</si>
  <si>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</si>
  <si>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</si>
  <si>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</si>
  <si>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 xml:space="preserve"> </t>
  </si>
  <si>
    <t>Var. %</t>
  </si>
  <si>
    <t>% PIB</t>
  </si>
  <si>
    <t>Ingresos</t>
  </si>
  <si>
    <t>Causas</t>
  </si>
  <si>
    <t>Gastos</t>
  </si>
  <si>
    <t>Multas, tasas y otros</t>
  </si>
  <si>
    <t>Ingresos de Binacionales (miles de millones PYG)</t>
  </si>
  <si>
    <t>Anualizado</t>
  </si>
  <si>
    <t>Millones USD</t>
  </si>
  <si>
    <t>Sept</t>
  </si>
  <si>
    <t>Total Ejecución 2026</t>
  </si>
  <si>
    <t>Presupuesto
Ajustado
2026</t>
  </si>
  <si>
    <t>Ejecución
Ene-Feb
2025</t>
  </si>
  <si>
    <t>Ejecución
Ene-Feb
2026</t>
  </si>
  <si>
    <t>(Varios elementos)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</si>
</sst>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gradientFill degree="90">
        <stop position="0">
          <color rgb="FF70A83B"/>
        </stop>
        <stop position="1">
          <color rgb="FF50792B"/>
        </stop>
      </gradientFill>
    </fill>
    <fill>
      <patternFill patternType="solid">
        <fgColor theme="2" tint="-0.249977111117893"/>
        <bgColor indexed="64"/>
      </patternFill>
    </fill>
    <fill>
      <gradientFill degree="90">
        <stop position="0">
          <color rgb="FFEE8254"/>
        </stop>
        <stop position="1">
          <color theme="5" tint="-0.25098422193060094"/>
        </stop>
      </gradient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60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0" fontId="23" fillId="0" borderId="0" xfId="2" applyNumberFormat="1" applyFont="1" applyBorder="1" applyAlignment="1">
      <alignment horizontal="center" vertical="center" wrapText="1"/>
    </xf>
    <xf numFmtId="3" fontId="25" fillId="0" borderId="0" xfId="2" applyFont="1" applyAlignment="1">
      <alignment horizontal="left" indent="3"/>
    </xf>
    <xf numFmtId="3" fontId="25" fillId="0" borderId="11" xfId="2" applyFont="1" applyBorder="1" applyAlignment="1">
      <alignment horizontal="left" indent="3"/>
    </xf>
    <xf numFmtId="3" fontId="51" fillId="0" borderId="0" xfId="2" applyFont="1" applyAlignment="1">
      <alignment horizontal="center"/>
    </xf>
    <xf numFmtId="185" fontId="0" fillId="0" borderId="0" xfId="1" applyNumberFormat="1" applyFont="1" applyFill="1" applyBorder="1"/>
    <xf numFmtId="3" fontId="25" fillId="10" borderId="4" xfId="5" applyNumberFormat="1" applyFont="1" applyFill="1" applyBorder="1" applyAlignment="1">
      <alignment horizontal="right"/>
    </xf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  <xf numFmtId="3" fontId="50" fillId="9" borderId="0" xfId="2" applyFont="1" applyFill="1" applyAlignment="1">
      <alignment horizontal="center" vertical="center"/>
    </xf>
    <xf numFmtId="3" fontId="3" fillId="9" borderId="0" xfId="2" applyFill="1" applyAlignment="1">
      <alignment horizontal="left" vertical="center"/>
    </xf>
    <xf numFmtId="3" fontId="49" fillId="8" borderId="0" xfId="2" applyFont="1" applyFill="1" applyAlignment="1">
      <alignment horizontal="left"/>
    </xf>
    <xf numFmtId="3" fontId="50" fillId="7" borderId="0" xfId="2" applyFont="1" applyFill="1" applyAlignment="1">
      <alignment horizontal="center" vertical="center"/>
    </xf>
    <xf numFmtId="3" fontId="3" fillId="7" borderId="0" xfId="2" applyFill="1" applyAlignment="1">
      <alignment horizontal="left" vertical="center"/>
    </xf>
    <xf numFmtId="3" fontId="3" fillId="0" borderId="0" xfId="2" applyBorder="1" applyAlignment="1">
      <alignment horizontal="center" vertical="center"/>
    </xf>
    <xf numFmtId="3" fontId="44" fillId="3" borderId="0" xfId="2" applyFont="1" applyFill="1" applyBorder="1" applyAlignment="1">
      <alignment horizontal="center" vertical="center"/>
    </xf>
    <xf numFmtId="168" fontId="3" fillId="0" borderId="0" xfId="2" applyNumberFormat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3" fontId="3" fillId="0" borderId="0" xfId="2" applyBorder="1" applyAlignment="1">
      <alignment horizontal="left" vertical="center" wrapText="1"/>
    </xf>
    <xf numFmtId="3" fontId="44" fillId="3" borderId="0" xfId="2" applyFont="1" applyFill="1" applyBorder="1" applyAlignment="1">
      <alignment horizontal="left" vertical="center"/>
    </xf>
    <xf numFmtId="3" fontId="3" fillId="3" borderId="0" xfId="2" applyFill="1" applyBorder="1" applyAlignment="1">
      <alignment horizontal="center" vertical="center"/>
    </xf>
    <xf numFmtId="171" fontId="44" fillId="3" borderId="0" xfId="1" applyNumberFormat="1" applyFont="1" applyFill="1" applyBorder="1" applyAlignment="1">
      <alignment horizontal="center" vertical="center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8" formatCode="#,##0.0"/>
    </dxf>
    <dxf>
      <alignment wrapText="1"/>
    </dxf>
    <dxf>
      <numFmt numFmtId="168" formatCode="#,##0.0"/>
    </dxf>
    <dxf>
      <numFmt numFmtId="168" formatCode="#,##0.0"/>
    </dxf>
    <dxf>
      <alignment wrapText="1"/>
    </dxf>
    <dxf>
      <numFmt numFmtId="3" formatCode="#,##0"/>
    </dxf>
    <dxf>
      <numFmt numFmtId="3" formatCode="#,##0"/>
    </dxf>
    <dxf>
      <numFmt numFmtId="3" formatCode="#,##0"/>
    </dxf>
    <dxf>
      <alignment wrapText="1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24,5% BID; USD 20,0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10,9% CAF; USD 8,9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29,1% BONOS; USD 23,7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20,7% FONPLATA; USD 16,8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0,9% OTROS; USD 0,7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2,0% FOCEM; USD 1,7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5C4D70A1-2E65-4B26-B604-E605B0E14C83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11,9% BIRF; USD 9,7</a:t>
          </a:r>
        </a:p>
      </dgm:t>
    </dgm:pt>
    <dgm:pt modelId="{73E15EAF-BC1B-427A-A2CF-B83F3B01FAF9}" type="parTrans" cxnId="{95EE404E-490A-4993-A203-93C7985487F9}">
      <dgm:prSet/>
      <dgm:spPr/>
      <dgm:t>
        <a:bodyPr/>
        <a:lstStyle/>
        <a:p>
          <a:endParaRPr lang="es-PY"/>
        </a:p>
      </dgm:t>
    </dgm:pt>
    <dgm:pt modelId="{FE3AB428-9995-4C12-88D5-6D44B7DAF09E}" type="sibTrans" cxnId="{95EE404E-490A-4993-A203-93C7985487F9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7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7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7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7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76ADA63B-0A32-4405-8A31-DF0A2EF3B378}" type="pres">
      <dgm:prSet presAssocID="{5C4D70A1-2E65-4B26-B604-E605B0E14C83}" presName="parentText" presStyleLbl="node1" presStyleIdx="4" presStyleCnt="7">
        <dgm:presLayoutVars>
          <dgm:chMax val="0"/>
          <dgm:bulletEnabled val="1"/>
        </dgm:presLayoutVars>
      </dgm:prSet>
      <dgm:spPr/>
    </dgm:pt>
    <dgm:pt modelId="{3E2F7131-69F5-4360-963D-D9D9BFC68DAE}" type="pres">
      <dgm:prSet presAssocID="{FE3AB428-9995-4C12-88D5-6D44B7DAF09E}" presName="spacer" presStyleCnt="0"/>
      <dgm:spPr/>
    </dgm:pt>
    <dgm:pt modelId="{14933411-0E7C-4728-9384-6262C986A989}" type="pres">
      <dgm:prSet presAssocID="{FD9DEBBE-28D2-4493-9793-BCEE0FC33B2E}" presName="parentText" presStyleLbl="node1" presStyleIdx="5" presStyleCnt="7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6" presStyleCnt="7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D7ADA433-9F78-4D24-A54E-28E0AC530701}" type="presOf" srcId="{5C4D70A1-2E65-4B26-B604-E605B0E14C83}" destId="{76ADA63B-0A32-4405-8A31-DF0A2EF3B378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95EE404E-490A-4993-A203-93C7985487F9}" srcId="{6328DD5A-4FA4-498B-9A24-C9AEEE306367}" destId="{5C4D70A1-2E65-4B26-B604-E605B0E14C83}" srcOrd="4" destOrd="0" parTransId="{73E15EAF-BC1B-427A-A2CF-B83F3B01FAF9}" sibTransId="{FE3AB428-9995-4C12-88D5-6D44B7DAF09E}"/>
    <dgm:cxn modelId="{758F2572-5190-4313-AD6B-A93D7AC1CA44}" srcId="{6328DD5A-4FA4-498B-9A24-C9AEEE306367}" destId="{E606728B-9366-46E7-8C21-D46A7C61DD44}" srcOrd="6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5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76050654-7254-409E-B9B1-B267C434D03D}" type="presParOf" srcId="{41DEA639-A1E4-4393-A072-31EA636B96AF}" destId="{76ADA63B-0A32-4405-8A31-DF0A2EF3B378}" srcOrd="8" destOrd="0" presId="urn:microsoft.com/office/officeart/2005/8/layout/vList2"/>
    <dgm:cxn modelId="{A303C3EA-B3E8-4CC4-A37D-A12FEC726378}" type="presParOf" srcId="{41DEA639-A1E4-4393-A072-31EA636B96AF}" destId="{3E2F7131-69F5-4360-963D-D9D9BFC68DAE}" srcOrd="9" destOrd="0" presId="urn:microsoft.com/office/officeart/2005/8/layout/vList2"/>
    <dgm:cxn modelId="{B3340C66-92D9-4B30-A8C4-598A0D4F3B63}" type="presParOf" srcId="{41DEA639-A1E4-4393-A072-31EA636B96AF}" destId="{14933411-0E7C-4728-9384-6262C986A989}" srcOrd="10" destOrd="0" presId="urn:microsoft.com/office/officeart/2005/8/layout/vList2"/>
    <dgm:cxn modelId="{B0BEA088-421A-4E07-B206-34514E733D43}" type="presParOf" srcId="{41DEA639-A1E4-4393-A072-31EA636B96AF}" destId="{0DC45C5F-B0FA-421B-A55D-C8517FD7F8CB}" srcOrd="11" destOrd="0" presId="urn:microsoft.com/office/officeart/2005/8/layout/vList2"/>
    <dgm:cxn modelId="{1B7B9CBF-C9E2-404C-9DF1-7348B1225CE6}" type="presParOf" srcId="{41DEA639-A1E4-4393-A072-31EA636B96AF}" destId="{CC4A0EB8-B574-4474-8026-DBB4FEDF31CB}" srcOrd="12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A65B696E-1B57-4AE4-B7B7-33A1649B38DB}" type="doc">
      <dgm:prSet loTypeId="urn:microsoft.com/office/officeart/2008/layout/SquareAccentLis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PY"/>
        </a:p>
      </dgm:t>
    </dgm:pt>
    <dgm:pt modelId="{F732CAA3-1D70-44EE-9E78-2C543861C2F9}">
      <dgm:prSet phldrT="[Texto]"/>
      <dgm:spPr/>
      <dgm:t>
        <a:bodyPr/>
        <a:lstStyle/>
        <a:p>
          <a:r>
            <a:rPr lang="es-PY"/>
            <a:t>Operativo</a:t>
          </a:r>
        </a:p>
      </dgm:t>
    </dgm:pt>
    <dgm:pt modelId="{816DA5D2-6335-465D-BC1B-9F70912DC14D}" type="parTrans" cxnId="{EA949B68-B6CF-40FB-BB63-8393F64E2498}">
      <dgm:prSet/>
      <dgm:spPr/>
      <dgm:t>
        <a:bodyPr/>
        <a:lstStyle/>
        <a:p>
          <a:endParaRPr lang="es-PY"/>
        </a:p>
      </dgm:t>
    </dgm:pt>
    <dgm:pt modelId="{C5536142-923E-4958-8761-8567F17FCB09}" type="sibTrans" cxnId="{EA949B68-B6CF-40FB-BB63-8393F64E2498}">
      <dgm:prSet/>
      <dgm:spPr/>
      <dgm:t>
        <a:bodyPr/>
        <a:lstStyle/>
        <a:p>
          <a:endParaRPr lang="es-PY"/>
        </a:p>
      </dgm:t>
    </dgm:pt>
    <dgm:pt modelId="{9C8A1C92-DF6C-4F32-BC9D-DECD5D00BBF2}">
      <dgm:prSet phldrT="[Texto]" phldr="1"/>
      <dgm:spPr/>
      <dgm:t>
        <a:bodyPr/>
        <a:lstStyle/>
        <a:p>
          <a:endParaRPr lang="es-PY"/>
        </a:p>
      </dgm:t>
    </dgm:pt>
    <dgm:pt modelId="{FBBC0898-045E-46D8-AFD9-EFC7406460B2}" type="parTrans" cxnId="{BD5BDC7A-E610-42FE-AAFA-DD5D89A44B02}">
      <dgm:prSet/>
      <dgm:spPr/>
      <dgm:t>
        <a:bodyPr/>
        <a:lstStyle/>
        <a:p>
          <a:endParaRPr lang="es-PY"/>
        </a:p>
      </dgm:t>
    </dgm:pt>
    <dgm:pt modelId="{37375B3C-B45F-4B6A-B932-2276A8EB73A5}" type="sibTrans" cxnId="{BD5BDC7A-E610-42FE-AAFA-DD5D89A44B02}">
      <dgm:prSet/>
      <dgm:spPr/>
      <dgm:t>
        <a:bodyPr/>
        <a:lstStyle/>
        <a:p>
          <a:endParaRPr lang="es-PY"/>
        </a:p>
      </dgm:t>
    </dgm:pt>
    <dgm:pt modelId="{8BB7E3B7-03A7-4490-93A5-C5AE05EEA441}">
      <dgm:prSet phldrT="[Texto]" phldr="1"/>
      <dgm:spPr/>
      <dgm:t>
        <a:bodyPr/>
        <a:lstStyle/>
        <a:p>
          <a:endParaRPr lang="es-PY"/>
        </a:p>
      </dgm:t>
    </dgm:pt>
    <dgm:pt modelId="{B476A39E-3A83-4B5A-8B20-6C5B0C27E22A}" type="parTrans" cxnId="{4D128C09-2680-4E72-BD8B-21A83683145B}">
      <dgm:prSet/>
      <dgm:spPr/>
      <dgm:t>
        <a:bodyPr/>
        <a:lstStyle/>
        <a:p>
          <a:endParaRPr lang="es-PY"/>
        </a:p>
      </dgm:t>
    </dgm:pt>
    <dgm:pt modelId="{B659AC96-1E53-47A7-93DF-99BAD638038A}" type="sibTrans" cxnId="{4D128C09-2680-4E72-BD8B-21A83683145B}">
      <dgm:prSet/>
      <dgm:spPr/>
      <dgm:t>
        <a:bodyPr/>
        <a:lstStyle/>
        <a:p>
          <a:endParaRPr lang="es-PY"/>
        </a:p>
      </dgm:t>
    </dgm:pt>
    <dgm:pt modelId="{E2693E66-619D-4914-A904-F14BF2D65B4B}">
      <dgm:prSet phldrT="[Texto]" phldr="1"/>
      <dgm:spPr/>
      <dgm:t>
        <a:bodyPr/>
        <a:lstStyle/>
        <a:p>
          <a:endParaRPr lang="es-PY"/>
        </a:p>
      </dgm:t>
    </dgm:pt>
    <dgm:pt modelId="{155CF492-F582-4936-AF16-9351FBFA9BCD}" type="parTrans" cxnId="{3FE3D496-5C9B-4159-8D82-6F1AD03863F1}">
      <dgm:prSet/>
      <dgm:spPr/>
      <dgm:t>
        <a:bodyPr/>
        <a:lstStyle/>
        <a:p>
          <a:endParaRPr lang="es-PY"/>
        </a:p>
      </dgm:t>
    </dgm:pt>
    <dgm:pt modelId="{4D40118D-FB42-4B18-BF0F-5A84FFC409DF}" type="sibTrans" cxnId="{3FE3D496-5C9B-4159-8D82-6F1AD03863F1}">
      <dgm:prSet/>
      <dgm:spPr/>
      <dgm:t>
        <a:bodyPr/>
        <a:lstStyle/>
        <a:p>
          <a:endParaRPr lang="es-PY"/>
        </a:p>
      </dgm:t>
    </dgm:pt>
    <dgm:pt modelId="{5C1A441B-70BA-4719-9032-5DEBD071A3BA}">
      <dgm:prSet phldrT="[Texto]"/>
      <dgm:spPr/>
      <dgm:t>
        <a:bodyPr/>
        <a:lstStyle/>
        <a:p>
          <a:r>
            <a:rPr lang="es-PY"/>
            <a:t>Primario</a:t>
          </a:r>
        </a:p>
      </dgm:t>
    </dgm:pt>
    <dgm:pt modelId="{444A7220-1D56-4334-AE69-5B62B0170151}" type="parTrans" cxnId="{1D454E10-65B4-4115-A4C6-68DF3C28905B}">
      <dgm:prSet/>
      <dgm:spPr/>
      <dgm:t>
        <a:bodyPr/>
        <a:lstStyle/>
        <a:p>
          <a:endParaRPr lang="es-PY"/>
        </a:p>
      </dgm:t>
    </dgm:pt>
    <dgm:pt modelId="{BCD3FB0B-D715-4E81-A0A6-6C67ADCAC369}" type="sibTrans" cxnId="{1D454E10-65B4-4115-A4C6-68DF3C28905B}">
      <dgm:prSet/>
      <dgm:spPr/>
      <dgm:t>
        <a:bodyPr/>
        <a:lstStyle/>
        <a:p>
          <a:endParaRPr lang="es-PY"/>
        </a:p>
      </dgm:t>
    </dgm:pt>
    <dgm:pt modelId="{1E2CE305-706F-4C57-BA61-51A3EAA96FD0}">
      <dgm:prSet phldrT="[Texto]" phldr="1"/>
      <dgm:spPr/>
      <dgm:t>
        <a:bodyPr/>
        <a:lstStyle/>
        <a:p>
          <a:endParaRPr lang="es-PY"/>
        </a:p>
      </dgm:t>
    </dgm:pt>
    <dgm:pt modelId="{4BA7EB09-E624-4A5A-815F-62028B9CD5AB}" type="parTrans" cxnId="{9D3DE276-462F-49A0-8F1C-EBE5FFC559D4}">
      <dgm:prSet/>
      <dgm:spPr/>
      <dgm:t>
        <a:bodyPr/>
        <a:lstStyle/>
        <a:p>
          <a:endParaRPr lang="es-PY"/>
        </a:p>
      </dgm:t>
    </dgm:pt>
    <dgm:pt modelId="{E0388E70-D0FB-4A33-804C-6AC5BF5C82B2}" type="sibTrans" cxnId="{9D3DE276-462F-49A0-8F1C-EBE5FFC559D4}">
      <dgm:prSet/>
      <dgm:spPr/>
      <dgm:t>
        <a:bodyPr/>
        <a:lstStyle/>
        <a:p>
          <a:endParaRPr lang="es-PY"/>
        </a:p>
      </dgm:t>
    </dgm:pt>
    <dgm:pt modelId="{D2A6C69B-E7E0-412D-A3A5-4E9FB908F587}">
      <dgm:prSet phldrT="[Texto]" phldr="1"/>
      <dgm:spPr/>
      <dgm:t>
        <a:bodyPr/>
        <a:lstStyle/>
        <a:p>
          <a:endParaRPr lang="es-PY"/>
        </a:p>
      </dgm:t>
    </dgm:pt>
    <dgm:pt modelId="{E6EFACF8-8041-45DB-B065-23E6B9B831D3}" type="parTrans" cxnId="{8217DF59-A033-4D3B-BD42-645E27946811}">
      <dgm:prSet/>
      <dgm:spPr/>
      <dgm:t>
        <a:bodyPr/>
        <a:lstStyle/>
        <a:p>
          <a:endParaRPr lang="es-PY"/>
        </a:p>
      </dgm:t>
    </dgm:pt>
    <dgm:pt modelId="{3F95DAFC-9A8D-41B4-BFEA-8F48BBF863EE}" type="sibTrans" cxnId="{8217DF59-A033-4D3B-BD42-645E27946811}">
      <dgm:prSet/>
      <dgm:spPr/>
      <dgm:t>
        <a:bodyPr/>
        <a:lstStyle/>
        <a:p>
          <a:endParaRPr lang="es-PY"/>
        </a:p>
      </dgm:t>
    </dgm:pt>
    <dgm:pt modelId="{D30BB242-5444-4220-B055-2A1572914C47}">
      <dgm:prSet phldrT="[Texto]" phldr="1"/>
      <dgm:spPr/>
      <dgm:t>
        <a:bodyPr/>
        <a:lstStyle/>
        <a:p>
          <a:endParaRPr lang="es-PY"/>
        </a:p>
      </dgm:t>
    </dgm:pt>
    <dgm:pt modelId="{0F7974CA-3DDB-4279-B040-FC12A0388382}" type="parTrans" cxnId="{1F0D72F0-8432-4BB6-A517-715E3B852908}">
      <dgm:prSet/>
      <dgm:spPr/>
      <dgm:t>
        <a:bodyPr/>
        <a:lstStyle/>
        <a:p>
          <a:endParaRPr lang="es-PY"/>
        </a:p>
      </dgm:t>
    </dgm:pt>
    <dgm:pt modelId="{C7BBB2D6-5922-4930-A363-9FD8C35889BD}" type="sibTrans" cxnId="{1F0D72F0-8432-4BB6-A517-715E3B852908}">
      <dgm:prSet/>
      <dgm:spPr/>
      <dgm:t>
        <a:bodyPr/>
        <a:lstStyle/>
        <a:p>
          <a:endParaRPr lang="es-PY"/>
        </a:p>
      </dgm:t>
    </dgm:pt>
    <dgm:pt modelId="{D8FD492B-7AE9-4966-87C0-07A6E8F793C1}">
      <dgm:prSet/>
      <dgm:spPr/>
      <dgm:t>
        <a:bodyPr/>
        <a:lstStyle/>
        <a:p>
          <a:r>
            <a:rPr lang="es-PY"/>
            <a:t>Global</a:t>
          </a:r>
        </a:p>
      </dgm:t>
    </dgm:pt>
    <dgm:pt modelId="{0AFDEE2E-429B-409B-8949-0F26C52FB63E}" type="parTrans" cxnId="{94EC5D5C-9541-4EFA-BF99-19F857569DB6}">
      <dgm:prSet/>
      <dgm:spPr/>
      <dgm:t>
        <a:bodyPr/>
        <a:lstStyle/>
        <a:p>
          <a:endParaRPr lang="es-PY"/>
        </a:p>
      </dgm:t>
    </dgm:pt>
    <dgm:pt modelId="{D1A9DD8B-7E04-443D-B368-30798C2C4C3F}" type="sibTrans" cxnId="{94EC5D5C-9541-4EFA-BF99-19F857569DB6}">
      <dgm:prSet/>
      <dgm:spPr/>
      <dgm:t>
        <a:bodyPr/>
        <a:lstStyle/>
        <a:p>
          <a:endParaRPr lang="es-PY"/>
        </a:p>
      </dgm:t>
    </dgm:pt>
    <dgm:pt modelId="{07611423-6D02-424D-9B23-7F25E9AD6C85}">
      <dgm:prSet/>
      <dgm:spPr/>
      <dgm:t>
        <a:bodyPr/>
        <a:lstStyle/>
        <a:p>
          <a:endParaRPr lang="es-PY"/>
        </a:p>
      </dgm:t>
    </dgm:pt>
    <dgm:pt modelId="{27BBF2CF-1254-440F-A49C-1E6C4F4273F3}" type="parTrans" cxnId="{F02AECA4-9136-4FE5-A352-069CC112450D}">
      <dgm:prSet/>
      <dgm:spPr/>
      <dgm:t>
        <a:bodyPr/>
        <a:lstStyle/>
        <a:p>
          <a:endParaRPr lang="es-PY"/>
        </a:p>
      </dgm:t>
    </dgm:pt>
    <dgm:pt modelId="{27E938E9-E969-4791-AE8B-D199F03368EE}" type="sibTrans" cxnId="{F02AECA4-9136-4FE5-A352-069CC112450D}">
      <dgm:prSet/>
      <dgm:spPr/>
      <dgm:t>
        <a:bodyPr/>
        <a:lstStyle/>
        <a:p>
          <a:endParaRPr lang="es-PY"/>
        </a:p>
      </dgm:t>
    </dgm:pt>
    <dgm:pt modelId="{C0C6B6C8-D933-4169-A046-30790F5FB43D}">
      <dgm:prSet/>
      <dgm:spPr/>
      <dgm:t>
        <a:bodyPr/>
        <a:lstStyle/>
        <a:p>
          <a:endParaRPr lang="es-PY"/>
        </a:p>
      </dgm:t>
    </dgm:pt>
    <dgm:pt modelId="{4B8870B5-E2A0-406A-99FE-4EF12783B160}" type="parTrans" cxnId="{51C73B97-EED0-4EBA-95C2-1CF4FD101277}">
      <dgm:prSet/>
      <dgm:spPr/>
      <dgm:t>
        <a:bodyPr/>
        <a:lstStyle/>
        <a:p>
          <a:endParaRPr lang="es-PY"/>
        </a:p>
      </dgm:t>
    </dgm:pt>
    <dgm:pt modelId="{774D80BA-4621-4F5B-BA83-31ABE384AEAD}" type="sibTrans" cxnId="{51C73B97-EED0-4EBA-95C2-1CF4FD101277}">
      <dgm:prSet/>
      <dgm:spPr/>
      <dgm:t>
        <a:bodyPr/>
        <a:lstStyle/>
        <a:p>
          <a:endParaRPr lang="es-PY"/>
        </a:p>
      </dgm:t>
    </dgm:pt>
    <dgm:pt modelId="{276CB479-DC45-41CA-AB7B-E4E3CF88946C}">
      <dgm:prSet/>
      <dgm:spPr/>
      <dgm:t>
        <a:bodyPr/>
        <a:lstStyle/>
        <a:p>
          <a:endParaRPr lang="es-PY"/>
        </a:p>
      </dgm:t>
    </dgm:pt>
    <dgm:pt modelId="{D3F31333-30E5-448B-A045-E1990BCDE49B}" type="parTrans" cxnId="{0F1E241B-CB79-4914-BD07-6B43F0D3F318}">
      <dgm:prSet/>
      <dgm:spPr/>
      <dgm:t>
        <a:bodyPr/>
        <a:lstStyle/>
        <a:p>
          <a:endParaRPr lang="es-PY"/>
        </a:p>
      </dgm:t>
    </dgm:pt>
    <dgm:pt modelId="{DBE42CB2-9DBD-44EF-B110-4DEE92CB1D12}" type="sibTrans" cxnId="{0F1E241B-CB79-4914-BD07-6B43F0D3F318}">
      <dgm:prSet/>
      <dgm:spPr/>
      <dgm:t>
        <a:bodyPr/>
        <a:lstStyle/>
        <a:p>
          <a:endParaRPr lang="es-PY"/>
        </a:p>
      </dgm:t>
    </dgm:pt>
    <dgm:pt modelId="{6A5779A5-61BC-4DAD-B2EA-4482AB300DCA}" type="pres">
      <dgm:prSet presAssocID="{A65B696E-1B57-4AE4-B7B7-33A1649B38DB}" presName="layout" presStyleCnt="0">
        <dgm:presLayoutVars>
          <dgm:chMax/>
          <dgm:chPref/>
          <dgm:dir/>
          <dgm:resizeHandles/>
        </dgm:presLayoutVars>
      </dgm:prSet>
      <dgm:spPr/>
    </dgm:pt>
    <dgm:pt modelId="{6D794E97-4DFD-45D2-B6D4-AC2B78D607B9}" type="pres">
      <dgm:prSet presAssocID="{F732CAA3-1D70-44EE-9E78-2C543861C2F9}" presName="root" presStyleCnt="0">
        <dgm:presLayoutVars>
          <dgm:chMax/>
          <dgm:chPref/>
        </dgm:presLayoutVars>
      </dgm:prSet>
      <dgm:spPr/>
    </dgm:pt>
    <dgm:pt modelId="{4715A8A3-D7AB-4FC3-973A-DED74517AF93}" type="pres">
      <dgm:prSet presAssocID="{F732CAA3-1D70-44EE-9E78-2C543861C2F9}" presName="rootComposite" presStyleCnt="0">
        <dgm:presLayoutVars/>
      </dgm:prSet>
      <dgm:spPr/>
    </dgm:pt>
    <dgm:pt modelId="{FD193138-33C1-4E4C-9776-427A5510A910}" type="pres">
      <dgm:prSet presAssocID="{F732CAA3-1D70-44EE-9E78-2C543861C2F9}" presName="ParentAccent" presStyleLbl="alignNode1" presStyleIdx="0" presStyleCnt="3"/>
      <dgm:spPr/>
    </dgm:pt>
    <dgm:pt modelId="{E37999C3-9FAF-44DE-8706-180A383BE785}" type="pres">
      <dgm:prSet presAssocID="{F732CAA3-1D70-44EE-9E78-2C543861C2F9}" presName="ParentSmallAccent" presStyleLbl="fgAcc1" presStyleIdx="0" presStyleCnt="3"/>
      <dgm:spPr/>
    </dgm:pt>
    <dgm:pt modelId="{A75C911D-4043-46EA-B26C-23348B7796EB}" type="pres">
      <dgm:prSet presAssocID="{F732CAA3-1D70-44EE-9E78-2C543861C2F9}" presName="Parent" presStyleLbl="revTx" presStyleIdx="0" presStyleCnt="12">
        <dgm:presLayoutVars>
          <dgm:chMax/>
          <dgm:chPref val="4"/>
          <dgm:bulletEnabled val="1"/>
        </dgm:presLayoutVars>
      </dgm:prSet>
      <dgm:spPr/>
    </dgm:pt>
    <dgm:pt modelId="{54AB71B2-FD27-434B-9F82-8D8C56B9E3FF}" type="pres">
      <dgm:prSet presAssocID="{F732CAA3-1D70-44EE-9E78-2C543861C2F9}" presName="childShape" presStyleCnt="0">
        <dgm:presLayoutVars>
          <dgm:chMax val="0"/>
          <dgm:chPref val="0"/>
        </dgm:presLayoutVars>
      </dgm:prSet>
      <dgm:spPr/>
    </dgm:pt>
    <dgm:pt modelId="{2098FCB7-328F-46EB-8A6E-E65C66ACFE2E}" type="pres">
      <dgm:prSet presAssocID="{9C8A1C92-DF6C-4F32-BC9D-DECD5D00BBF2}" presName="childComposite" presStyleCnt="0">
        <dgm:presLayoutVars>
          <dgm:chMax val="0"/>
          <dgm:chPref val="0"/>
        </dgm:presLayoutVars>
      </dgm:prSet>
      <dgm:spPr/>
    </dgm:pt>
    <dgm:pt modelId="{18186179-FA9C-492C-A954-665898CE5C20}" type="pres">
      <dgm:prSet presAssocID="{9C8A1C92-DF6C-4F32-BC9D-DECD5D00BBF2}" presName="ChildAccent" presStyleLbl="solidFgAcc1" presStyleIdx="0" presStyleCnt="9"/>
      <dgm:spPr/>
    </dgm:pt>
    <dgm:pt modelId="{22A4795C-271A-4E69-BABF-33B37F4215BE}" type="pres">
      <dgm:prSet presAssocID="{9C8A1C92-DF6C-4F32-BC9D-DECD5D00BBF2}" presName="Child" presStyleLbl="revTx" presStyleIdx="1" presStyleCnt="12">
        <dgm:presLayoutVars>
          <dgm:chMax val="0"/>
          <dgm:chPref val="0"/>
          <dgm:bulletEnabled val="1"/>
        </dgm:presLayoutVars>
      </dgm:prSet>
      <dgm:spPr/>
    </dgm:pt>
    <dgm:pt modelId="{FA9854D1-DEF4-4904-95B1-92AA858F46C1}" type="pres">
      <dgm:prSet presAssocID="{8BB7E3B7-03A7-4490-93A5-C5AE05EEA441}" presName="childComposite" presStyleCnt="0">
        <dgm:presLayoutVars>
          <dgm:chMax val="0"/>
          <dgm:chPref val="0"/>
        </dgm:presLayoutVars>
      </dgm:prSet>
      <dgm:spPr/>
    </dgm:pt>
    <dgm:pt modelId="{D6A24587-731C-4A25-9A2D-F7B9D57FEB99}" type="pres">
      <dgm:prSet presAssocID="{8BB7E3B7-03A7-4490-93A5-C5AE05EEA441}" presName="ChildAccent" presStyleLbl="solidFgAcc1" presStyleIdx="1" presStyleCnt="9"/>
      <dgm:spPr/>
    </dgm:pt>
    <dgm:pt modelId="{CC4F6158-1A94-44FC-91BC-E89A4D86B4A8}" type="pres">
      <dgm:prSet presAssocID="{8BB7E3B7-03A7-4490-93A5-C5AE05EEA441}" presName="Child" presStyleLbl="revTx" presStyleIdx="2" presStyleCnt="12">
        <dgm:presLayoutVars>
          <dgm:chMax val="0"/>
          <dgm:chPref val="0"/>
          <dgm:bulletEnabled val="1"/>
        </dgm:presLayoutVars>
      </dgm:prSet>
      <dgm:spPr/>
    </dgm:pt>
    <dgm:pt modelId="{8904A3D7-3617-4F30-A3DD-E78E46032787}" type="pres">
      <dgm:prSet presAssocID="{E2693E66-619D-4914-A904-F14BF2D65B4B}" presName="childComposite" presStyleCnt="0">
        <dgm:presLayoutVars>
          <dgm:chMax val="0"/>
          <dgm:chPref val="0"/>
        </dgm:presLayoutVars>
      </dgm:prSet>
      <dgm:spPr/>
    </dgm:pt>
    <dgm:pt modelId="{1CB73038-A222-4941-8C90-F684057CF285}" type="pres">
      <dgm:prSet presAssocID="{E2693E66-619D-4914-A904-F14BF2D65B4B}" presName="ChildAccent" presStyleLbl="solidFgAcc1" presStyleIdx="2" presStyleCnt="9"/>
      <dgm:spPr/>
    </dgm:pt>
    <dgm:pt modelId="{6A5672A0-3C08-43D0-964B-BAFE59093755}" type="pres">
      <dgm:prSet presAssocID="{E2693E66-619D-4914-A904-F14BF2D65B4B}" presName="Child" presStyleLbl="revTx" presStyleIdx="3" presStyleCnt="12">
        <dgm:presLayoutVars>
          <dgm:chMax val="0"/>
          <dgm:chPref val="0"/>
          <dgm:bulletEnabled val="1"/>
        </dgm:presLayoutVars>
      </dgm:prSet>
      <dgm:spPr/>
    </dgm:pt>
    <dgm:pt modelId="{38B0A5F5-E01A-40A3-82C9-CCE847796902}" type="pres">
      <dgm:prSet presAssocID="{5C1A441B-70BA-4719-9032-5DEBD071A3BA}" presName="root" presStyleCnt="0">
        <dgm:presLayoutVars>
          <dgm:chMax/>
          <dgm:chPref/>
        </dgm:presLayoutVars>
      </dgm:prSet>
      <dgm:spPr/>
    </dgm:pt>
    <dgm:pt modelId="{7E6911EF-2382-4634-92B5-D4B675077B60}" type="pres">
      <dgm:prSet presAssocID="{5C1A441B-70BA-4719-9032-5DEBD071A3BA}" presName="rootComposite" presStyleCnt="0">
        <dgm:presLayoutVars/>
      </dgm:prSet>
      <dgm:spPr/>
    </dgm:pt>
    <dgm:pt modelId="{51A75234-B519-4E6B-B7F1-D4E09E37A045}" type="pres">
      <dgm:prSet presAssocID="{5C1A441B-70BA-4719-9032-5DEBD071A3BA}" presName="ParentAccent" presStyleLbl="alignNode1" presStyleIdx="1" presStyleCnt="3"/>
      <dgm:spPr/>
    </dgm:pt>
    <dgm:pt modelId="{05B363F7-FF99-4812-AC51-805955FBE717}" type="pres">
      <dgm:prSet presAssocID="{5C1A441B-70BA-4719-9032-5DEBD071A3BA}" presName="ParentSmallAccent" presStyleLbl="fgAcc1" presStyleIdx="1" presStyleCnt="3"/>
      <dgm:spPr/>
    </dgm:pt>
    <dgm:pt modelId="{87BD9E12-7E23-420C-A5AD-36CE42A9F86F}" type="pres">
      <dgm:prSet presAssocID="{5C1A441B-70BA-4719-9032-5DEBD071A3BA}" presName="Parent" presStyleLbl="revTx" presStyleIdx="4" presStyleCnt="12">
        <dgm:presLayoutVars>
          <dgm:chMax/>
          <dgm:chPref val="4"/>
          <dgm:bulletEnabled val="1"/>
        </dgm:presLayoutVars>
      </dgm:prSet>
      <dgm:spPr/>
    </dgm:pt>
    <dgm:pt modelId="{EB8C34FA-2C56-41E7-B02E-75710861E6AD}" type="pres">
      <dgm:prSet presAssocID="{5C1A441B-70BA-4719-9032-5DEBD071A3BA}" presName="childShape" presStyleCnt="0">
        <dgm:presLayoutVars>
          <dgm:chMax val="0"/>
          <dgm:chPref val="0"/>
        </dgm:presLayoutVars>
      </dgm:prSet>
      <dgm:spPr/>
    </dgm:pt>
    <dgm:pt modelId="{3B521451-1792-40DB-9E01-2BD5DC9DC55E}" type="pres">
      <dgm:prSet presAssocID="{1E2CE305-706F-4C57-BA61-51A3EAA96FD0}" presName="childComposite" presStyleCnt="0">
        <dgm:presLayoutVars>
          <dgm:chMax val="0"/>
          <dgm:chPref val="0"/>
        </dgm:presLayoutVars>
      </dgm:prSet>
      <dgm:spPr/>
    </dgm:pt>
    <dgm:pt modelId="{C297E5ED-0A40-4CAA-9B37-F9A3269F5A35}" type="pres">
      <dgm:prSet presAssocID="{1E2CE305-706F-4C57-BA61-51A3EAA96FD0}" presName="ChildAccent" presStyleLbl="solidFgAcc1" presStyleIdx="3" presStyleCnt="9"/>
      <dgm:spPr/>
    </dgm:pt>
    <dgm:pt modelId="{BE4201AF-8DEC-4682-A8BC-6E8B8DBC8BED}" type="pres">
      <dgm:prSet presAssocID="{1E2CE305-706F-4C57-BA61-51A3EAA96FD0}" presName="Child" presStyleLbl="revTx" presStyleIdx="5" presStyleCnt="12">
        <dgm:presLayoutVars>
          <dgm:chMax val="0"/>
          <dgm:chPref val="0"/>
          <dgm:bulletEnabled val="1"/>
        </dgm:presLayoutVars>
      </dgm:prSet>
      <dgm:spPr/>
    </dgm:pt>
    <dgm:pt modelId="{3D09F626-FAC8-41FC-A235-BF91850BE24B}" type="pres">
      <dgm:prSet presAssocID="{D2A6C69B-E7E0-412D-A3A5-4E9FB908F587}" presName="childComposite" presStyleCnt="0">
        <dgm:presLayoutVars>
          <dgm:chMax val="0"/>
          <dgm:chPref val="0"/>
        </dgm:presLayoutVars>
      </dgm:prSet>
      <dgm:spPr/>
    </dgm:pt>
    <dgm:pt modelId="{912ED6D5-15D0-4CB0-B10E-117B055FB909}" type="pres">
      <dgm:prSet presAssocID="{D2A6C69B-E7E0-412D-A3A5-4E9FB908F587}" presName="ChildAccent" presStyleLbl="solidFgAcc1" presStyleIdx="4" presStyleCnt="9"/>
      <dgm:spPr/>
    </dgm:pt>
    <dgm:pt modelId="{4237FE41-788C-4B35-B18A-FDD4CC5451AD}" type="pres">
      <dgm:prSet presAssocID="{D2A6C69B-E7E0-412D-A3A5-4E9FB908F587}" presName="Child" presStyleLbl="revTx" presStyleIdx="6" presStyleCnt="12">
        <dgm:presLayoutVars>
          <dgm:chMax val="0"/>
          <dgm:chPref val="0"/>
          <dgm:bulletEnabled val="1"/>
        </dgm:presLayoutVars>
      </dgm:prSet>
      <dgm:spPr/>
    </dgm:pt>
    <dgm:pt modelId="{DFAB439A-152C-4CF0-843B-513CC872075B}" type="pres">
      <dgm:prSet presAssocID="{D30BB242-5444-4220-B055-2A1572914C47}" presName="childComposite" presStyleCnt="0">
        <dgm:presLayoutVars>
          <dgm:chMax val="0"/>
          <dgm:chPref val="0"/>
        </dgm:presLayoutVars>
      </dgm:prSet>
      <dgm:spPr/>
    </dgm:pt>
    <dgm:pt modelId="{C90002D3-43F1-4B34-A9C9-ADA32016D243}" type="pres">
      <dgm:prSet presAssocID="{D30BB242-5444-4220-B055-2A1572914C47}" presName="ChildAccent" presStyleLbl="solidFgAcc1" presStyleIdx="5" presStyleCnt="9"/>
      <dgm:spPr/>
    </dgm:pt>
    <dgm:pt modelId="{7CC0864B-EC25-47C1-8D7F-11147F02139B}" type="pres">
      <dgm:prSet presAssocID="{D30BB242-5444-4220-B055-2A1572914C47}" presName="Child" presStyleLbl="revTx" presStyleIdx="7" presStyleCnt="12">
        <dgm:presLayoutVars>
          <dgm:chMax val="0"/>
          <dgm:chPref val="0"/>
          <dgm:bulletEnabled val="1"/>
        </dgm:presLayoutVars>
      </dgm:prSet>
      <dgm:spPr/>
    </dgm:pt>
    <dgm:pt modelId="{174CBD1F-9E34-49E0-95B8-8313CAF621A8}" type="pres">
      <dgm:prSet presAssocID="{D8FD492B-7AE9-4966-87C0-07A6E8F793C1}" presName="root" presStyleCnt="0">
        <dgm:presLayoutVars>
          <dgm:chMax/>
          <dgm:chPref/>
        </dgm:presLayoutVars>
      </dgm:prSet>
      <dgm:spPr/>
    </dgm:pt>
    <dgm:pt modelId="{1C582B3E-F5D6-4C73-8956-6FD05A0F2995}" type="pres">
      <dgm:prSet presAssocID="{D8FD492B-7AE9-4966-87C0-07A6E8F793C1}" presName="rootComposite" presStyleCnt="0">
        <dgm:presLayoutVars/>
      </dgm:prSet>
      <dgm:spPr/>
    </dgm:pt>
    <dgm:pt modelId="{0B121545-2875-48D2-ABF7-AB6E01D72A39}" type="pres">
      <dgm:prSet presAssocID="{D8FD492B-7AE9-4966-87C0-07A6E8F793C1}" presName="ParentAccent" presStyleLbl="alignNode1" presStyleIdx="2" presStyleCnt="3"/>
      <dgm:spPr/>
    </dgm:pt>
    <dgm:pt modelId="{413C1985-13ED-4CCB-87E8-D642A38ECF75}" type="pres">
      <dgm:prSet presAssocID="{D8FD492B-7AE9-4966-87C0-07A6E8F793C1}" presName="ParentSmallAccent" presStyleLbl="fgAcc1" presStyleIdx="2" presStyleCnt="3"/>
      <dgm:spPr/>
    </dgm:pt>
    <dgm:pt modelId="{F5DFC7C8-0073-4586-B086-59C10734EFAF}" type="pres">
      <dgm:prSet presAssocID="{D8FD492B-7AE9-4966-87C0-07A6E8F793C1}" presName="Parent" presStyleLbl="revTx" presStyleIdx="8" presStyleCnt="12">
        <dgm:presLayoutVars>
          <dgm:chMax/>
          <dgm:chPref val="4"/>
          <dgm:bulletEnabled val="1"/>
        </dgm:presLayoutVars>
      </dgm:prSet>
      <dgm:spPr/>
    </dgm:pt>
    <dgm:pt modelId="{41C1749E-0B56-4C72-9BB1-56425639B76D}" type="pres">
      <dgm:prSet presAssocID="{D8FD492B-7AE9-4966-87C0-07A6E8F793C1}" presName="childShape" presStyleCnt="0">
        <dgm:presLayoutVars>
          <dgm:chMax val="0"/>
          <dgm:chPref val="0"/>
        </dgm:presLayoutVars>
      </dgm:prSet>
      <dgm:spPr/>
    </dgm:pt>
    <dgm:pt modelId="{109B9930-1E33-40E7-A2AC-3E9B7B59B2CA}" type="pres">
      <dgm:prSet presAssocID="{07611423-6D02-424D-9B23-7F25E9AD6C85}" presName="childComposite" presStyleCnt="0">
        <dgm:presLayoutVars>
          <dgm:chMax val="0"/>
          <dgm:chPref val="0"/>
        </dgm:presLayoutVars>
      </dgm:prSet>
      <dgm:spPr/>
    </dgm:pt>
    <dgm:pt modelId="{06C4B1D0-520C-448E-8854-C49B0EA90C58}" type="pres">
      <dgm:prSet presAssocID="{07611423-6D02-424D-9B23-7F25E9AD6C85}" presName="ChildAccent" presStyleLbl="solidFgAcc1" presStyleIdx="6" presStyleCnt="9"/>
      <dgm:spPr/>
    </dgm:pt>
    <dgm:pt modelId="{FEABF563-516D-43E8-8928-779EEBE899CA}" type="pres">
      <dgm:prSet presAssocID="{07611423-6D02-424D-9B23-7F25E9AD6C85}" presName="Child" presStyleLbl="revTx" presStyleIdx="9" presStyleCnt="12">
        <dgm:presLayoutVars>
          <dgm:chMax val="0"/>
          <dgm:chPref val="0"/>
          <dgm:bulletEnabled val="1"/>
        </dgm:presLayoutVars>
      </dgm:prSet>
      <dgm:spPr/>
    </dgm:pt>
    <dgm:pt modelId="{2BD3508D-0523-4472-9C30-66897C7C3800}" type="pres">
      <dgm:prSet presAssocID="{C0C6B6C8-D933-4169-A046-30790F5FB43D}" presName="childComposite" presStyleCnt="0">
        <dgm:presLayoutVars>
          <dgm:chMax val="0"/>
          <dgm:chPref val="0"/>
        </dgm:presLayoutVars>
      </dgm:prSet>
      <dgm:spPr/>
    </dgm:pt>
    <dgm:pt modelId="{0610B6FC-2EDA-414F-A78D-0956D82BC4E3}" type="pres">
      <dgm:prSet presAssocID="{C0C6B6C8-D933-4169-A046-30790F5FB43D}" presName="ChildAccent" presStyleLbl="solidFgAcc1" presStyleIdx="7" presStyleCnt="9"/>
      <dgm:spPr/>
    </dgm:pt>
    <dgm:pt modelId="{5700CD0A-8922-49C2-8083-22ABCBEC0FE1}" type="pres">
      <dgm:prSet presAssocID="{C0C6B6C8-D933-4169-A046-30790F5FB43D}" presName="Child" presStyleLbl="revTx" presStyleIdx="10" presStyleCnt="12">
        <dgm:presLayoutVars>
          <dgm:chMax val="0"/>
          <dgm:chPref val="0"/>
          <dgm:bulletEnabled val="1"/>
        </dgm:presLayoutVars>
      </dgm:prSet>
      <dgm:spPr/>
    </dgm:pt>
    <dgm:pt modelId="{4581DF11-EFC3-4A7B-A590-DF8FDBCC9FE6}" type="pres">
      <dgm:prSet presAssocID="{276CB479-DC45-41CA-AB7B-E4E3CF88946C}" presName="childComposite" presStyleCnt="0">
        <dgm:presLayoutVars>
          <dgm:chMax val="0"/>
          <dgm:chPref val="0"/>
        </dgm:presLayoutVars>
      </dgm:prSet>
      <dgm:spPr/>
    </dgm:pt>
    <dgm:pt modelId="{AC0141B4-E234-4EBC-ABC6-BF135D842E45}" type="pres">
      <dgm:prSet presAssocID="{276CB479-DC45-41CA-AB7B-E4E3CF88946C}" presName="ChildAccent" presStyleLbl="solidFgAcc1" presStyleIdx="8" presStyleCnt="9"/>
      <dgm:spPr/>
    </dgm:pt>
    <dgm:pt modelId="{9FACAE9D-0EBF-45D7-958C-A83B0B63839C}" type="pres">
      <dgm:prSet presAssocID="{276CB479-DC45-41CA-AB7B-E4E3CF88946C}" presName="Child" presStyleLbl="revTx" presStyleIdx="11" presStyleCnt="12">
        <dgm:presLayoutVars>
          <dgm:chMax val="0"/>
          <dgm:chPref val="0"/>
          <dgm:bulletEnabled val="1"/>
        </dgm:presLayoutVars>
      </dgm:prSet>
      <dgm:spPr/>
    </dgm:pt>
  </dgm:ptLst>
  <dgm:cxnLst>
    <dgm:cxn modelId="{9B50B600-0B19-4C4A-8FA7-AC7113E80314}" type="presOf" srcId="{1E2CE305-706F-4C57-BA61-51A3EAA96FD0}" destId="{BE4201AF-8DEC-4682-A8BC-6E8B8DBC8BED}" srcOrd="0" destOrd="0" presId="urn:microsoft.com/office/officeart/2008/layout/SquareAccentList"/>
    <dgm:cxn modelId="{4D128C09-2680-4E72-BD8B-21A83683145B}" srcId="{F732CAA3-1D70-44EE-9E78-2C543861C2F9}" destId="{8BB7E3B7-03A7-4490-93A5-C5AE05EEA441}" srcOrd="1" destOrd="0" parTransId="{B476A39E-3A83-4B5A-8B20-6C5B0C27E22A}" sibTransId="{B659AC96-1E53-47A7-93DF-99BAD638038A}"/>
    <dgm:cxn modelId="{1D454E10-65B4-4115-A4C6-68DF3C28905B}" srcId="{A65B696E-1B57-4AE4-B7B7-33A1649B38DB}" destId="{5C1A441B-70BA-4719-9032-5DEBD071A3BA}" srcOrd="1" destOrd="0" parTransId="{444A7220-1D56-4334-AE69-5B62B0170151}" sibTransId="{BCD3FB0B-D715-4E81-A0A6-6C67ADCAC369}"/>
    <dgm:cxn modelId="{4C078612-D779-424B-A016-40B6D3286DD8}" type="presOf" srcId="{F732CAA3-1D70-44EE-9E78-2C543861C2F9}" destId="{A75C911D-4043-46EA-B26C-23348B7796EB}" srcOrd="0" destOrd="0" presId="urn:microsoft.com/office/officeart/2008/layout/SquareAccentList"/>
    <dgm:cxn modelId="{0F1E241B-CB79-4914-BD07-6B43F0D3F318}" srcId="{D8FD492B-7AE9-4966-87C0-07A6E8F793C1}" destId="{276CB479-DC45-41CA-AB7B-E4E3CF88946C}" srcOrd="2" destOrd="0" parTransId="{D3F31333-30E5-448B-A045-E1990BCDE49B}" sibTransId="{DBE42CB2-9DBD-44EF-B110-4DEE92CB1D12}"/>
    <dgm:cxn modelId="{1E2C591B-ECA0-4868-8D60-69173686F141}" type="presOf" srcId="{D8FD492B-7AE9-4966-87C0-07A6E8F793C1}" destId="{F5DFC7C8-0073-4586-B086-59C10734EFAF}" srcOrd="0" destOrd="0" presId="urn:microsoft.com/office/officeart/2008/layout/SquareAccentList"/>
    <dgm:cxn modelId="{CFA7081D-616E-45F7-9B7F-5C876E3ED083}" type="presOf" srcId="{D30BB242-5444-4220-B055-2A1572914C47}" destId="{7CC0864B-EC25-47C1-8D7F-11147F02139B}" srcOrd="0" destOrd="0" presId="urn:microsoft.com/office/officeart/2008/layout/SquareAccentList"/>
    <dgm:cxn modelId="{A18B442D-275D-41E3-9FE9-D4B674503D0B}" type="presOf" srcId="{9C8A1C92-DF6C-4F32-BC9D-DECD5D00BBF2}" destId="{22A4795C-271A-4E69-BABF-33B37F4215BE}" srcOrd="0" destOrd="0" presId="urn:microsoft.com/office/officeart/2008/layout/SquareAccentList"/>
    <dgm:cxn modelId="{2A782934-1FC9-4D63-B621-14949084A4E6}" type="presOf" srcId="{07611423-6D02-424D-9B23-7F25E9AD6C85}" destId="{FEABF563-516D-43E8-8928-779EEBE899CA}" srcOrd="0" destOrd="0" presId="urn:microsoft.com/office/officeart/2008/layout/SquareAccentList"/>
    <dgm:cxn modelId="{94EC5D5C-9541-4EFA-BF99-19F857569DB6}" srcId="{A65B696E-1B57-4AE4-B7B7-33A1649B38DB}" destId="{D8FD492B-7AE9-4966-87C0-07A6E8F793C1}" srcOrd="2" destOrd="0" parTransId="{0AFDEE2E-429B-409B-8949-0F26C52FB63E}" sibTransId="{D1A9DD8B-7E04-443D-B368-30798C2C4C3F}"/>
    <dgm:cxn modelId="{EA949B68-B6CF-40FB-BB63-8393F64E2498}" srcId="{A65B696E-1B57-4AE4-B7B7-33A1649B38DB}" destId="{F732CAA3-1D70-44EE-9E78-2C543861C2F9}" srcOrd="0" destOrd="0" parTransId="{816DA5D2-6335-465D-BC1B-9F70912DC14D}" sibTransId="{C5536142-923E-4958-8761-8567F17FCB09}"/>
    <dgm:cxn modelId="{9D3DE276-462F-49A0-8F1C-EBE5FFC559D4}" srcId="{5C1A441B-70BA-4719-9032-5DEBD071A3BA}" destId="{1E2CE305-706F-4C57-BA61-51A3EAA96FD0}" srcOrd="0" destOrd="0" parTransId="{4BA7EB09-E624-4A5A-815F-62028B9CD5AB}" sibTransId="{E0388E70-D0FB-4A33-804C-6AC5BF5C82B2}"/>
    <dgm:cxn modelId="{E036B858-20DD-4C5D-A9C7-A43B96995E4F}" type="presOf" srcId="{276CB479-DC45-41CA-AB7B-E4E3CF88946C}" destId="{9FACAE9D-0EBF-45D7-958C-A83B0B63839C}" srcOrd="0" destOrd="0" presId="urn:microsoft.com/office/officeart/2008/layout/SquareAccentList"/>
    <dgm:cxn modelId="{8217DF59-A033-4D3B-BD42-645E27946811}" srcId="{5C1A441B-70BA-4719-9032-5DEBD071A3BA}" destId="{D2A6C69B-E7E0-412D-A3A5-4E9FB908F587}" srcOrd="1" destOrd="0" parTransId="{E6EFACF8-8041-45DB-B065-23E6B9B831D3}" sibTransId="{3F95DAFC-9A8D-41B4-BFEA-8F48BBF863EE}"/>
    <dgm:cxn modelId="{BD5BDC7A-E610-42FE-AAFA-DD5D89A44B02}" srcId="{F732CAA3-1D70-44EE-9E78-2C543861C2F9}" destId="{9C8A1C92-DF6C-4F32-BC9D-DECD5D00BBF2}" srcOrd="0" destOrd="0" parTransId="{FBBC0898-045E-46D8-AFD9-EFC7406460B2}" sibTransId="{37375B3C-B45F-4B6A-B932-2276A8EB73A5}"/>
    <dgm:cxn modelId="{03FD3980-8182-47DD-B869-971196714528}" type="presOf" srcId="{A65B696E-1B57-4AE4-B7B7-33A1649B38DB}" destId="{6A5779A5-61BC-4DAD-B2EA-4482AB300DCA}" srcOrd="0" destOrd="0" presId="urn:microsoft.com/office/officeart/2008/layout/SquareAccentList"/>
    <dgm:cxn modelId="{53EC1E88-E402-4CBE-900F-E3488065654B}" type="presOf" srcId="{5C1A441B-70BA-4719-9032-5DEBD071A3BA}" destId="{87BD9E12-7E23-420C-A5AD-36CE42A9F86F}" srcOrd="0" destOrd="0" presId="urn:microsoft.com/office/officeart/2008/layout/SquareAccentList"/>
    <dgm:cxn modelId="{276A2E8C-2001-4D81-9277-FE609FFB2F93}" type="presOf" srcId="{8BB7E3B7-03A7-4490-93A5-C5AE05EEA441}" destId="{CC4F6158-1A94-44FC-91BC-E89A4D86B4A8}" srcOrd="0" destOrd="0" presId="urn:microsoft.com/office/officeart/2008/layout/SquareAccentList"/>
    <dgm:cxn modelId="{3FE3D496-5C9B-4159-8D82-6F1AD03863F1}" srcId="{F732CAA3-1D70-44EE-9E78-2C543861C2F9}" destId="{E2693E66-619D-4914-A904-F14BF2D65B4B}" srcOrd="2" destOrd="0" parTransId="{155CF492-F582-4936-AF16-9351FBFA9BCD}" sibTransId="{4D40118D-FB42-4B18-BF0F-5A84FFC409DF}"/>
    <dgm:cxn modelId="{51C73B97-EED0-4EBA-95C2-1CF4FD101277}" srcId="{D8FD492B-7AE9-4966-87C0-07A6E8F793C1}" destId="{C0C6B6C8-D933-4169-A046-30790F5FB43D}" srcOrd="1" destOrd="0" parTransId="{4B8870B5-E2A0-406A-99FE-4EF12783B160}" sibTransId="{774D80BA-4621-4F5B-BA83-31ABE384AEAD}"/>
    <dgm:cxn modelId="{F02AECA4-9136-4FE5-A352-069CC112450D}" srcId="{D8FD492B-7AE9-4966-87C0-07A6E8F793C1}" destId="{07611423-6D02-424D-9B23-7F25E9AD6C85}" srcOrd="0" destOrd="0" parTransId="{27BBF2CF-1254-440F-A49C-1E6C4F4273F3}" sibTransId="{27E938E9-E969-4791-AE8B-D199F03368EE}"/>
    <dgm:cxn modelId="{690608C5-9306-45C9-A479-12F6A934512A}" type="presOf" srcId="{C0C6B6C8-D933-4169-A046-30790F5FB43D}" destId="{5700CD0A-8922-49C2-8083-22ABCBEC0FE1}" srcOrd="0" destOrd="0" presId="urn:microsoft.com/office/officeart/2008/layout/SquareAccentList"/>
    <dgm:cxn modelId="{AD71A9EA-B27D-480E-83B4-856B205C1B23}" type="presOf" srcId="{D2A6C69B-E7E0-412D-A3A5-4E9FB908F587}" destId="{4237FE41-788C-4B35-B18A-FDD4CC5451AD}" srcOrd="0" destOrd="0" presId="urn:microsoft.com/office/officeart/2008/layout/SquareAccentList"/>
    <dgm:cxn modelId="{1F0D72F0-8432-4BB6-A517-715E3B852908}" srcId="{5C1A441B-70BA-4719-9032-5DEBD071A3BA}" destId="{D30BB242-5444-4220-B055-2A1572914C47}" srcOrd="2" destOrd="0" parTransId="{0F7974CA-3DDB-4279-B040-FC12A0388382}" sibTransId="{C7BBB2D6-5922-4930-A363-9FD8C35889BD}"/>
    <dgm:cxn modelId="{D65486FB-BA0D-4EB1-9864-6FD2A934A4EE}" type="presOf" srcId="{E2693E66-619D-4914-A904-F14BF2D65B4B}" destId="{6A5672A0-3C08-43D0-964B-BAFE59093755}" srcOrd="0" destOrd="0" presId="urn:microsoft.com/office/officeart/2008/layout/SquareAccentList"/>
    <dgm:cxn modelId="{F0CD0578-E9BD-44A7-93E1-CF952F70FEDF}" type="presParOf" srcId="{6A5779A5-61BC-4DAD-B2EA-4482AB300DCA}" destId="{6D794E97-4DFD-45D2-B6D4-AC2B78D607B9}" srcOrd="0" destOrd="0" presId="urn:microsoft.com/office/officeart/2008/layout/SquareAccentList"/>
    <dgm:cxn modelId="{B428963E-960F-4957-A3DF-B1564FA31C8E}" type="presParOf" srcId="{6D794E97-4DFD-45D2-B6D4-AC2B78D607B9}" destId="{4715A8A3-D7AB-4FC3-973A-DED74517AF93}" srcOrd="0" destOrd="0" presId="urn:microsoft.com/office/officeart/2008/layout/SquareAccentList"/>
    <dgm:cxn modelId="{7143F3C2-FE16-43B4-8FC6-5683B3542B54}" type="presParOf" srcId="{4715A8A3-D7AB-4FC3-973A-DED74517AF93}" destId="{FD193138-33C1-4E4C-9776-427A5510A910}" srcOrd="0" destOrd="0" presId="urn:microsoft.com/office/officeart/2008/layout/SquareAccentList"/>
    <dgm:cxn modelId="{0C33F413-C12F-4C49-A178-EDA680B2E624}" type="presParOf" srcId="{4715A8A3-D7AB-4FC3-973A-DED74517AF93}" destId="{E37999C3-9FAF-44DE-8706-180A383BE785}" srcOrd="1" destOrd="0" presId="urn:microsoft.com/office/officeart/2008/layout/SquareAccentList"/>
    <dgm:cxn modelId="{DBAC56C6-978B-4887-9534-804EAFF9BECC}" type="presParOf" srcId="{4715A8A3-D7AB-4FC3-973A-DED74517AF93}" destId="{A75C911D-4043-46EA-B26C-23348B7796EB}" srcOrd="2" destOrd="0" presId="urn:microsoft.com/office/officeart/2008/layout/SquareAccentList"/>
    <dgm:cxn modelId="{2637196E-F240-4509-8B2D-E45D543695C1}" type="presParOf" srcId="{6D794E97-4DFD-45D2-B6D4-AC2B78D607B9}" destId="{54AB71B2-FD27-434B-9F82-8D8C56B9E3FF}" srcOrd="1" destOrd="0" presId="urn:microsoft.com/office/officeart/2008/layout/SquareAccentList"/>
    <dgm:cxn modelId="{1EA2BBEB-C3A2-4F46-B06C-0D90B3EEC5B3}" type="presParOf" srcId="{54AB71B2-FD27-434B-9F82-8D8C56B9E3FF}" destId="{2098FCB7-328F-46EB-8A6E-E65C66ACFE2E}" srcOrd="0" destOrd="0" presId="urn:microsoft.com/office/officeart/2008/layout/SquareAccentList"/>
    <dgm:cxn modelId="{E54A6F93-B6EB-49EE-9179-E589B147A91B}" type="presParOf" srcId="{2098FCB7-328F-46EB-8A6E-E65C66ACFE2E}" destId="{18186179-FA9C-492C-A954-665898CE5C20}" srcOrd="0" destOrd="0" presId="urn:microsoft.com/office/officeart/2008/layout/SquareAccentList"/>
    <dgm:cxn modelId="{BCBFF616-FF1C-42DE-A37B-AD3AA5CB3C1F}" type="presParOf" srcId="{2098FCB7-328F-46EB-8A6E-E65C66ACFE2E}" destId="{22A4795C-271A-4E69-BABF-33B37F4215BE}" srcOrd="1" destOrd="0" presId="urn:microsoft.com/office/officeart/2008/layout/SquareAccentList"/>
    <dgm:cxn modelId="{7B6246FC-F689-4888-A094-F4A880F631B7}" type="presParOf" srcId="{54AB71B2-FD27-434B-9F82-8D8C56B9E3FF}" destId="{FA9854D1-DEF4-4904-95B1-92AA858F46C1}" srcOrd="1" destOrd="0" presId="urn:microsoft.com/office/officeart/2008/layout/SquareAccentList"/>
    <dgm:cxn modelId="{075C3F0F-2698-4212-AB6E-7B0EE9FFBF67}" type="presParOf" srcId="{FA9854D1-DEF4-4904-95B1-92AA858F46C1}" destId="{D6A24587-731C-4A25-9A2D-F7B9D57FEB99}" srcOrd="0" destOrd="0" presId="urn:microsoft.com/office/officeart/2008/layout/SquareAccentList"/>
    <dgm:cxn modelId="{159F5ACB-0213-481F-9020-6141087C89DF}" type="presParOf" srcId="{FA9854D1-DEF4-4904-95B1-92AA858F46C1}" destId="{CC4F6158-1A94-44FC-91BC-E89A4D86B4A8}" srcOrd="1" destOrd="0" presId="urn:microsoft.com/office/officeart/2008/layout/SquareAccentList"/>
    <dgm:cxn modelId="{72F2D1AD-6F6F-472D-BF51-F68AD109E9DA}" type="presParOf" srcId="{54AB71B2-FD27-434B-9F82-8D8C56B9E3FF}" destId="{8904A3D7-3617-4F30-A3DD-E78E46032787}" srcOrd="2" destOrd="0" presId="urn:microsoft.com/office/officeart/2008/layout/SquareAccentList"/>
    <dgm:cxn modelId="{159B852F-DD03-43A3-B531-3358F66BD1CF}" type="presParOf" srcId="{8904A3D7-3617-4F30-A3DD-E78E46032787}" destId="{1CB73038-A222-4941-8C90-F684057CF285}" srcOrd="0" destOrd="0" presId="urn:microsoft.com/office/officeart/2008/layout/SquareAccentList"/>
    <dgm:cxn modelId="{B521EC77-A335-4385-AF0B-43056AA89726}" type="presParOf" srcId="{8904A3D7-3617-4F30-A3DD-E78E46032787}" destId="{6A5672A0-3C08-43D0-964B-BAFE59093755}" srcOrd="1" destOrd="0" presId="urn:microsoft.com/office/officeart/2008/layout/SquareAccentList"/>
    <dgm:cxn modelId="{FF9E938A-E455-46E2-B8B6-EB2E4B3DFB46}" type="presParOf" srcId="{6A5779A5-61BC-4DAD-B2EA-4482AB300DCA}" destId="{38B0A5F5-E01A-40A3-82C9-CCE847796902}" srcOrd="1" destOrd="0" presId="urn:microsoft.com/office/officeart/2008/layout/SquareAccentList"/>
    <dgm:cxn modelId="{04C77E54-B549-4759-A0EB-A5C04BEC4D65}" type="presParOf" srcId="{38B0A5F5-E01A-40A3-82C9-CCE847796902}" destId="{7E6911EF-2382-4634-92B5-D4B675077B60}" srcOrd="0" destOrd="0" presId="urn:microsoft.com/office/officeart/2008/layout/SquareAccentList"/>
    <dgm:cxn modelId="{B7C42B4D-B57B-416D-BC5C-444812F32307}" type="presParOf" srcId="{7E6911EF-2382-4634-92B5-D4B675077B60}" destId="{51A75234-B519-4E6B-B7F1-D4E09E37A045}" srcOrd="0" destOrd="0" presId="urn:microsoft.com/office/officeart/2008/layout/SquareAccentList"/>
    <dgm:cxn modelId="{85F2C919-2E35-4452-93C1-E3C166B3F97C}" type="presParOf" srcId="{7E6911EF-2382-4634-92B5-D4B675077B60}" destId="{05B363F7-FF99-4812-AC51-805955FBE717}" srcOrd="1" destOrd="0" presId="urn:microsoft.com/office/officeart/2008/layout/SquareAccentList"/>
    <dgm:cxn modelId="{6CDEEAEE-91A1-4604-A202-D0F3E662F5BB}" type="presParOf" srcId="{7E6911EF-2382-4634-92B5-D4B675077B60}" destId="{87BD9E12-7E23-420C-A5AD-36CE42A9F86F}" srcOrd="2" destOrd="0" presId="urn:microsoft.com/office/officeart/2008/layout/SquareAccentList"/>
    <dgm:cxn modelId="{4E90E42A-6DBD-49C1-AB67-FD65B2A31D82}" type="presParOf" srcId="{38B0A5F5-E01A-40A3-82C9-CCE847796902}" destId="{EB8C34FA-2C56-41E7-B02E-75710861E6AD}" srcOrd="1" destOrd="0" presId="urn:microsoft.com/office/officeart/2008/layout/SquareAccentList"/>
    <dgm:cxn modelId="{3E0C0E02-F42B-41B4-BA37-CFAE5B38FC10}" type="presParOf" srcId="{EB8C34FA-2C56-41E7-B02E-75710861E6AD}" destId="{3B521451-1792-40DB-9E01-2BD5DC9DC55E}" srcOrd="0" destOrd="0" presId="urn:microsoft.com/office/officeart/2008/layout/SquareAccentList"/>
    <dgm:cxn modelId="{17835FAA-FD4F-4505-9E12-5E23471BCB11}" type="presParOf" srcId="{3B521451-1792-40DB-9E01-2BD5DC9DC55E}" destId="{C297E5ED-0A40-4CAA-9B37-F9A3269F5A35}" srcOrd="0" destOrd="0" presId="urn:microsoft.com/office/officeart/2008/layout/SquareAccentList"/>
    <dgm:cxn modelId="{D96E5D4B-16AF-4499-A9D3-1AFCAA4EBADF}" type="presParOf" srcId="{3B521451-1792-40DB-9E01-2BD5DC9DC55E}" destId="{BE4201AF-8DEC-4682-A8BC-6E8B8DBC8BED}" srcOrd="1" destOrd="0" presId="urn:microsoft.com/office/officeart/2008/layout/SquareAccentList"/>
    <dgm:cxn modelId="{C17E6EFF-0333-4E8D-A642-4DCE4C2D1BB5}" type="presParOf" srcId="{EB8C34FA-2C56-41E7-B02E-75710861E6AD}" destId="{3D09F626-FAC8-41FC-A235-BF91850BE24B}" srcOrd="1" destOrd="0" presId="urn:microsoft.com/office/officeart/2008/layout/SquareAccentList"/>
    <dgm:cxn modelId="{235991BC-CF65-4174-A838-25B223C33075}" type="presParOf" srcId="{3D09F626-FAC8-41FC-A235-BF91850BE24B}" destId="{912ED6D5-15D0-4CB0-B10E-117B055FB909}" srcOrd="0" destOrd="0" presId="urn:microsoft.com/office/officeart/2008/layout/SquareAccentList"/>
    <dgm:cxn modelId="{3C42DCC4-3440-4181-99EF-22C8DA2F51AA}" type="presParOf" srcId="{3D09F626-FAC8-41FC-A235-BF91850BE24B}" destId="{4237FE41-788C-4B35-B18A-FDD4CC5451AD}" srcOrd="1" destOrd="0" presId="urn:microsoft.com/office/officeart/2008/layout/SquareAccentList"/>
    <dgm:cxn modelId="{D8ED1C39-751F-4DBE-91CB-AC2C5FA3982D}" type="presParOf" srcId="{EB8C34FA-2C56-41E7-B02E-75710861E6AD}" destId="{DFAB439A-152C-4CF0-843B-513CC872075B}" srcOrd="2" destOrd="0" presId="urn:microsoft.com/office/officeart/2008/layout/SquareAccentList"/>
    <dgm:cxn modelId="{14F0E82A-F02E-4160-808E-10E7C16467B6}" type="presParOf" srcId="{DFAB439A-152C-4CF0-843B-513CC872075B}" destId="{C90002D3-43F1-4B34-A9C9-ADA32016D243}" srcOrd="0" destOrd="0" presId="urn:microsoft.com/office/officeart/2008/layout/SquareAccentList"/>
    <dgm:cxn modelId="{646A58D2-5927-4B2C-8758-FA17171B4384}" type="presParOf" srcId="{DFAB439A-152C-4CF0-843B-513CC872075B}" destId="{7CC0864B-EC25-47C1-8D7F-11147F02139B}" srcOrd="1" destOrd="0" presId="urn:microsoft.com/office/officeart/2008/layout/SquareAccentList"/>
    <dgm:cxn modelId="{39716E38-B839-4B0B-926F-E30A445E2367}" type="presParOf" srcId="{6A5779A5-61BC-4DAD-B2EA-4482AB300DCA}" destId="{174CBD1F-9E34-49E0-95B8-8313CAF621A8}" srcOrd="2" destOrd="0" presId="urn:microsoft.com/office/officeart/2008/layout/SquareAccentList"/>
    <dgm:cxn modelId="{188B9627-0229-49AE-8A81-C3CF1A139857}" type="presParOf" srcId="{174CBD1F-9E34-49E0-95B8-8313CAF621A8}" destId="{1C582B3E-F5D6-4C73-8956-6FD05A0F2995}" srcOrd="0" destOrd="0" presId="urn:microsoft.com/office/officeart/2008/layout/SquareAccentList"/>
    <dgm:cxn modelId="{8FB3480A-D369-494A-9AF4-C7B86EE2C635}" type="presParOf" srcId="{1C582B3E-F5D6-4C73-8956-6FD05A0F2995}" destId="{0B121545-2875-48D2-ABF7-AB6E01D72A39}" srcOrd="0" destOrd="0" presId="urn:microsoft.com/office/officeart/2008/layout/SquareAccentList"/>
    <dgm:cxn modelId="{23D83DFA-5630-4F68-BFAF-3AAEE4F6928E}" type="presParOf" srcId="{1C582B3E-F5D6-4C73-8956-6FD05A0F2995}" destId="{413C1985-13ED-4CCB-87E8-D642A38ECF75}" srcOrd="1" destOrd="0" presId="urn:microsoft.com/office/officeart/2008/layout/SquareAccentList"/>
    <dgm:cxn modelId="{9A0C53E1-485E-4F36-B41D-C96C8BC4DB34}" type="presParOf" srcId="{1C582B3E-F5D6-4C73-8956-6FD05A0F2995}" destId="{F5DFC7C8-0073-4586-B086-59C10734EFAF}" srcOrd="2" destOrd="0" presId="urn:microsoft.com/office/officeart/2008/layout/SquareAccentList"/>
    <dgm:cxn modelId="{33A07E9A-F807-4922-BA10-D70563315D1E}" type="presParOf" srcId="{174CBD1F-9E34-49E0-95B8-8313CAF621A8}" destId="{41C1749E-0B56-4C72-9BB1-56425639B76D}" srcOrd="1" destOrd="0" presId="urn:microsoft.com/office/officeart/2008/layout/SquareAccentList"/>
    <dgm:cxn modelId="{E3157423-0D22-4B76-9037-9E4C32C62D28}" type="presParOf" srcId="{41C1749E-0B56-4C72-9BB1-56425639B76D}" destId="{109B9930-1E33-40E7-A2AC-3E9B7B59B2CA}" srcOrd="0" destOrd="0" presId="urn:microsoft.com/office/officeart/2008/layout/SquareAccentList"/>
    <dgm:cxn modelId="{DDBFA1CE-DD43-4D92-B2D2-445F815C7719}" type="presParOf" srcId="{109B9930-1E33-40E7-A2AC-3E9B7B59B2CA}" destId="{06C4B1D0-520C-448E-8854-C49B0EA90C58}" srcOrd="0" destOrd="0" presId="urn:microsoft.com/office/officeart/2008/layout/SquareAccentList"/>
    <dgm:cxn modelId="{8924F5D7-5FFE-49FE-9092-EE2B5B993527}" type="presParOf" srcId="{109B9930-1E33-40E7-A2AC-3E9B7B59B2CA}" destId="{FEABF563-516D-43E8-8928-779EEBE899CA}" srcOrd="1" destOrd="0" presId="urn:microsoft.com/office/officeart/2008/layout/SquareAccentList"/>
    <dgm:cxn modelId="{F34E78CA-5562-4D98-950A-09F2CBABA8B6}" type="presParOf" srcId="{41C1749E-0B56-4C72-9BB1-56425639B76D}" destId="{2BD3508D-0523-4472-9C30-66897C7C3800}" srcOrd="1" destOrd="0" presId="urn:microsoft.com/office/officeart/2008/layout/SquareAccentList"/>
    <dgm:cxn modelId="{C12039A1-576C-4824-BC17-5DC9D76739FF}" type="presParOf" srcId="{2BD3508D-0523-4472-9C30-66897C7C3800}" destId="{0610B6FC-2EDA-414F-A78D-0956D82BC4E3}" srcOrd="0" destOrd="0" presId="urn:microsoft.com/office/officeart/2008/layout/SquareAccentList"/>
    <dgm:cxn modelId="{7AD352D9-4F61-4363-B6BA-EE9AC7A96698}" type="presParOf" srcId="{2BD3508D-0523-4472-9C30-66897C7C3800}" destId="{5700CD0A-8922-49C2-8083-22ABCBEC0FE1}" srcOrd="1" destOrd="0" presId="urn:microsoft.com/office/officeart/2008/layout/SquareAccentList"/>
    <dgm:cxn modelId="{6A19D0C5-3D67-4554-9EBA-3F79BC0A13F2}" type="presParOf" srcId="{41C1749E-0B56-4C72-9BB1-56425639B76D}" destId="{4581DF11-EFC3-4A7B-A590-DF8FDBCC9FE6}" srcOrd="2" destOrd="0" presId="urn:microsoft.com/office/officeart/2008/layout/SquareAccentList"/>
    <dgm:cxn modelId="{33F57378-2D5F-45EB-9CF3-F62B4D7F2599}" type="presParOf" srcId="{4581DF11-EFC3-4A7B-A590-DF8FDBCC9FE6}" destId="{AC0141B4-E234-4EBC-ABC6-BF135D842E45}" srcOrd="0" destOrd="0" presId="urn:microsoft.com/office/officeart/2008/layout/SquareAccentList"/>
    <dgm:cxn modelId="{351CF399-9311-4DC8-8CD9-6750D66B5A5F}" type="presParOf" srcId="{4581DF11-EFC3-4A7B-A590-DF8FDBCC9FE6}" destId="{9FACAE9D-0EBF-45D7-958C-A83B0B63839C}" srcOrd="1" destOrd="0" presId="urn:microsoft.com/office/officeart/2008/layout/SquareAccentList"/>
  </dgm:cxnLst>
  <dgm:bg/>
  <dgm:whole/>
  <dgm:extLst>
    <a:ext uri="http://schemas.microsoft.com/office/drawing/2008/diagram">
      <dsp:dataModelExt xmlns:dsp="http://schemas.microsoft.com/office/drawing/2008/diagram" relId="rId14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378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24,5% BID; USD 20,0</a:t>
          </a:r>
        </a:p>
      </dsp:txBody>
      <dsp:txXfrm>
        <a:off x="12794" y="50692"/>
        <a:ext cx="2108383" cy="236492"/>
      </dsp:txXfrm>
    </dsp:sp>
    <dsp:sp modelId="{0D666006-1837-4A28-932F-50B679C0692E}">
      <dsp:nvSpPr>
        <dsp:cNvPr id="0" name=""/>
        <dsp:cNvSpPr/>
      </dsp:nvSpPr>
      <dsp:spPr>
        <a:xfrm>
          <a:off x="0" y="333692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10,9% CAF; USD 8,9</a:t>
          </a:r>
        </a:p>
      </dsp:txBody>
      <dsp:txXfrm>
        <a:off x="12794" y="346486"/>
        <a:ext cx="2108383" cy="236492"/>
      </dsp:txXfrm>
    </dsp:sp>
    <dsp:sp modelId="{9C34921F-1EBE-4C36-AC6D-74BE6E9E4C7E}">
      <dsp:nvSpPr>
        <dsp:cNvPr id="0" name=""/>
        <dsp:cNvSpPr/>
      </dsp:nvSpPr>
      <dsp:spPr>
        <a:xfrm>
          <a:off x="0" y="6426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29,1% BONOS; USD 23,7</a:t>
          </a:r>
        </a:p>
      </dsp:txBody>
      <dsp:txXfrm>
        <a:off x="12794" y="655492"/>
        <a:ext cx="2108383" cy="236492"/>
      </dsp:txXfrm>
    </dsp:sp>
    <dsp:sp modelId="{2560457B-587D-45C6-B1E3-750BC51083D9}">
      <dsp:nvSpPr>
        <dsp:cNvPr id="0" name=""/>
        <dsp:cNvSpPr/>
      </dsp:nvSpPr>
      <dsp:spPr>
        <a:xfrm>
          <a:off x="0" y="9450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20,7% FONPLATA; USD 16,8</a:t>
          </a:r>
        </a:p>
      </dsp:txBody>
      <dsp:txXfrm>
        <a:off x="12794" y="957892"/>
        <a:ext cx="2108383" cy="236492"/>
      </dsp:txXfrm>
    </dsp:sp>
    <dsp:sp modelId="{76ADA63B-0A32-4405-8A31-DF0A2EF3B378}">
      <dsp:nvSpPr>
        <dsp:cNvPr id="0" name=""/>
        <dsp:cNvSpPr/>
      </dsp:nvSpPr>
      <dsp:spPr>
        <a:xfrm>
          <a:off x="0" y="12474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11,9% BIRF; USD 9,7</a:t>
          </a:r>
        </a:p>
      </dsp:txBody>
      <dsp:txXfrm>
        <a:off x="12794" y="1260292"/>
        <a:ext cx="2108383" cy="236492"/>
      </dsp:txXfrm>
    </dsp:sp>
    <dsp:sp modelId="{14933411-0E7C-4728-9384-6262C986A989}">
      <dsp:nvSpPr>
        <dsp:cNvPr id="0" name=""/>
        <dsp:cNvSpPr/>
      </dsp:nvSpPr>
      <dsp:spPr>
        <a:xfrm>
          <a:off x="0" y="15498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2,0% FOCEM; USD 1,7</a:t>
          </a:r>
        </a:p>
      </dsp:txBody>
      <dsp:txXfrm>
        <a:off x="12794" y="1562692"/>
        <a:ext cx="2108383" cy="236492"/>
      </dsp:txXfrm>
    </dsp:sp>
    <dsp:sp modelId="{CC4A0EB8-B574-4474-8026-DBB4FEDF31CB}">
      <dsp:nvSpPr>
        <dsp:cNvPr id="0" name=""/>
        <dsp:cNvSpPr/>
      </dsp:nvSpPr>
      <dsp:spPr>
        <a:xfrm>
          <a:off x="0" y="1852298"/>
          <a:ext cx="2133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0,9% OTROS; USD 0,7</a:t>
          </a:r>
        </a:p>
      </dsp:txBody>
      <dsp:txXfrm>
        <a:off x="12794" y="1865092"/>
        <a:ext cx="2108383" cy="23649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623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76999"/>
        <a:ext cx="2104729" cy="270278"/>
      </dsp:txXfrm>
    </dsp:sp>
    <dsp:sp modelId="{0D666006-1837-4A28-932F-50B679C0692E}">
      <dsp:nvSpPr>
        <dsp:cNvPr id="0" name=""/>
        <dsp:cNvSpPr/>
      </dsp:nvSpPr>
      <dsp:spPr>
        <a:xfrm>
          <a:off x="0" y="400429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15050"/>
        <a:ext cx="2104729" cy="270278"/>
      </dsp:txXfrm>
    </dsp:sp>
    <dsp:sp modelId="{9C34921F-1EBE-4C36-AC6D-74BE6E9E4C7E}">
      <dsp:nvSpPr>
        <dsp:cNvPr id="0" name=""/>
        <dsp:cNvSpPr/>
      </dsp:nvSpPr>
      <dsp:spPr>
        <a:xfrm>
          <a:off x="0" y="7535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68199"/>
        <a:ext cx="2104729" cy="270278"/>
      </dsp:txXfrm>
    </dsp:sp>
    <dsp:sp modelId="{399C80D5-4A8C-41CC-9CD9-5EE6570C022A}">
      <dsp:nvSpPr>
        <dsp:cNvPr id="0" name=""/>
        <dsp:cNvSpPr/>
      </dsp:nvSpPr>
      <dsp:spPr>
        <a:xfrm>
          <a:off x="0" y="10991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13799"/>
        <a:ext cx="2104729" cy="270278"/>
      </dsp:txXfrm>
    </dsp:sp>
    <dsp:sp modelId="{2560457B-587D-45C6-B1E3-750BC51083D9}">
      <dsp:nvSpPr>
        <dsp:cNvPr id="0" name=""/>
        <dsp:cNvSpPr/>
      </dsp:nvSpPr>
      <dsp:spPr>
        <a:xfrm>
          <a:off x="0" y="14447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59399"/>
        <a:ext cx="2104729" cy="270278"/>
      </dsp:txXfrm>
    </dsp:sp>
    <dsp:sp modelId="{CC4A0EB8-B574-4474-8026-DBB4FEDF31CB}">
      <dsp:nvSpPr>
        <dsp:cNvPr id="0" name=""/>
        <dsp:cNvSpPr/>
      </dsp:nvSpPr>
      <dsp:spPr>
        <a:xfrm>
          <a:off x="0" y="17903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804999"/>
        <a:ext cx="2104729" cy="270278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623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76999"/>
        <a:ext cx="2104729" cy="270278"/>
      </dsp:txXfrm>
    </dsp:sp>
    <dsp:sp modelId="{0D666006-1837-4A28-932F-50B679C0692E}">
      <dsp:nvSpPr>
        <dsp:cNvPr id="0" name=""/>
        <dsp:cNvSpPr/>
      </dsp:nvSpPr>
      <dsp:spPr>
        <a:xfrm>
          <a:off x="0" y="400429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15050"/>
        <a:ext cx="2104729" cy="270278"/>
      </dsp:txXfrm>
    </dsp:sp>
    <dsp:sp modelId="{9C34921F-1EBE-4C36-AC6D-74BE6E9E4C7E}">
      <dsp:nvSpPr>
        <dsp:cNvPr id="0" name=""/>
        <dsp:cNvSpPr/>
      </dsp:nvSpPr>
      <dsp:spPr>
        <a:xfrm>
          <a:off x="0" y="7535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68199"/>
        <a:ext cx="2104729" cy="270278"/>
      </dsp:txXfrm>
    </dsp:sp>
    <dsp:sp modelId="{399C80D5-4A8C-41CC-9CD9-5EE6570C022A}">
      <dsp:nvSpPr>
        <dsp:cNvPr id="0" name=""/>
        <dsp:cNvSpPr/>
      </dsp:nvSpPr>
      <dsp:spPr>
        <a:xfrm>
          <a:off x="0" y="10991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13799"/>
        <a:ext cx="2104729" cy="270278"/>
      </dsp:txXfrm>
    </dsp:sp>
    <dsp:sp modelId="{2560457B-587D-45C6-B1E3-750BC51083D9}">
      <dsp:nvSpPr>
        <dsp:cNvPr id="0" name=""/>
        <dsp:cNvSpPr/>
      </dsp:nvSpPr>
      <dsp:spPr>
        <a:xfrm>
          <a:off x="0" y="14447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59399"/>
        <a:ext cx="2104729" cy="270278"/>
      </dsp:txXfrm>
    </dsp:sp>
    <dsp:sp modelId="{CC4A0EB8-B574-4474-8026-DBB4FEDF31CB}">
      <dsp:nvSpPr>
        <dsp:cNvPr id="0" name=""/>
        <dsp:cNvSpPr/>
      </dsp:nvSpPr>
      <dsp:spPr>
        <a:xfrm>
          <a:off x="0" y="1790378"/>
          <a:ext cx="2133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804999"/>
        <a:ext cx="2104729" cy="270278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193138-33C1-4E4C-9776-427A5510A910}">
      <dsp:nvSpPr>
        <dsp:cNvPr id="0" name=""/>
        <dsp:cNvSpPr/>
      </dsp:nvSpPr>
      <dsp:spPr>
        <a:xfrm>
          <a:off x="1059" y="364470"/>
          <a:ext cx="1724540" cy="20288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37999C3-9FAF-44DE-8706-180A383BE785}">
      <dsp:nvSpPr>
        <dsp:cNvPr id="0" name=""/>
        <dsp:cNvSpPr/>
      </dsp:nvSpPr>
      <dsp:spPr>
        <a:xfrm>
          <a:off x="1059" y="440666"/>
          <a:ext cx="126690" cy="12669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75C911D-4043-46EA-B26C-23348B7796EB}">
      <dsp:nvSpPr>
        <dsp:cNvPr id="0" name=""/>
        <dsp:cNvSpPr/>
      </dsp:nvSpPr>
      <dsp:spPr>
        <a:xfrm>
          <a:off x="1059" y="0"/>
          <a:ext cx="1724540" cy="36447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1910" tIns="27940" rIns="41910" bIns="27940" numCol="1" spcCol="1270" anchor="ctr" anchorCtr="0">
          <a:noAutofit/>
        </a:bodyPr>
        <a:lstStyle/>
        <a:p>
          <a:pPr marL="0" lvl="0" indent="0" algn="l" defTabSz="9779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200" kern="1200"/>
            <a:t>Operativo</a:t>
          </a:r>
        </a:p>
      </dsp:txBody>
      <dsp:txXfrm>
        <a:off x="1059" y="0"/>
        <a:ext cx="1724540" cy="364470"/>
      </dsp:txXfrm>
    </dsp:sp>
    <dsp:sp modelId="{18186179-FA9C-492C-A954-665898CE5C20}">
      <dsp:nvSpPr>
        <dsp:cNvPr id="0" name=""/>
        <dsp:cNvSpPr/>
      </dsp:nvSpPr>
      <dsp:spPr>
        <a:xfrm>
          <a:off x="1059" y="735979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2A4795C-271A-4E69-BABF-33B37F4215BE}">
      <dsp:nvSpPr>
        <dsp:cNvPr id="0" name=""/>
        <dsp:cNvSpPr/>
      </dsp:nvSpPr>
      <dsp:spPr>
        <a:xfrm>
          <a:off x="121777" y="651668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21777" y="651668"/>
        <a:ext cx="1603822" cy="295309"/>
      </dsp:txXfrm>
    </dsp:sp>
    <dsp:sp modelId="{D6A24587-731C-4A25-9A2D-F7B9D57FEB99}">
      <dsp:nvSpPr>
        <dsp:cNvPr id="0" name=""/>
        <dsp:cNvSpPr/>
      </dsp:nvSpPr>
      <dsp:spPr>
        <a:xfrm>
          <a:off x="1059" y="1031289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C4F6158-1A94-44FC-91BC-E89A4D86B4A8}">
      <dsp:nvSpPr>
        <dsp:cNvPr id="0" name=""/>
        <dsp:cNvSpPr/>
      </dsp:nvSpPr>
      <dsp:spPr>
        <a:xfrm>
          <a:off x="121777" y="946978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21777" y="946978"/>
        <a:ext cx="1603822" cy="295309"/>
      </dsp:txXfrm>
    </dsp:sp>
    <dsp:sp modelId="{1CB73038-A222-4941-8C90-F684057CF285}">
      <dsp:nvSpPr>
        <dsp:cNvPr id="0" name=""/>
        <dsp:cNvSpPr/>
      </dsp:nvSpPr>
      <dsp:spPr>
        <a:xfrm>
          <a:off x="1059" y="1326598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6A5672A0-3C08-43D0-964B-BAFE59093755}">
      <dsp:nvSpPr>
        <dsp:cNvPr id="0" name=""/>
        <dsp:cNvSpPr/>
      </dsp:nvSpPr>
      <dsp:spPr>
        <a:xfrm>
          <a:off x="121777" y="1242287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21777" y="1242287"/>
        <a:ext cx="1603822" cy="295309"/>
      </dsp:txXfrm>
    </dsp:sp>
    <dsp:sp modelId="{51A75234-B519-4E6B-B7F1-D4E09E37A045}">
      <dsp:nvSpPr>
        <dsp:cNvPr id="0" name=""/>
        <dsp:cNvSpPr/>
      </dsp:nvSpPr>
      <dsp:spPr>
        <a:xfrm>
          <a:off x="1811826" y="364470"/>
          <a:ext cx="1724540" cy="20288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5B363F7-FF99-4812-AC51-805955FBE717}">
      <dsp:nvSpPr>
        <dsp:cNvPr id="0" name=""/>
        <dsp:cNvSpPr/>
      </dsp:nvSpPr>
      <dsp:spPr>
        <a:xfrm>
          <a:off x="1811826" y="440666"/>
          <a:ext cx="126690" cy="12669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7BD9E12-7E23-420C-A5AD-36CE42A9F86F}">
      <dsp:nvSpPr>
        <dsp:cNvPr id="0" name=""/>
        <dsp:cNvSpPr/>
      </dsp:nvSpPr>
      <dsp:spPr>
        <a:xfrm>
          <a:off x="1811826" y="0"/>
          <a:ext cx="1724540" cy="36447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1910" tIns="27940" rIns="41910" bIns="27940" numCol="1" spcCol="1270" anchor="ctr" anchorCtr="0">
          <a:noAutofit/>
        </a:bodyPr>
        <a:lstStyle/>
        <a:p>
          <a:pPr marL="0" lvl="0" indent="0" algn="l" defTabSz="9779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200" kern="1200"/>
            <a:t>Primario</a:t>
          </a:r>
        </a:p>
      </dsp:txBody>
      <dsp:txXfrm>
        <a:off x="1811826" y="0"/>
        <a:ext cx="1724540" cy="364470"/>
      </dsp:txXfrm>
    </dsp:sp>
    <dsp:sp modelId="{C297E5ED-0A40-4CAA-9B37-F9A3269F5A35}">
      <dsp:nvSpPr>
        <dsp:cNvPr id="0" name=""/>
        <dsp:cNvSpPr/>
      </dsp:nvSpPr>
      <dsp:spPr>
        <a:xfrm>
          <a:off x="1811826" y="735979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BE4201AF-8DEC-4682-A8BC-6E8B8DBC8BED}">
      <dsp:nvSpPr>
        <dsp:cNvPr id="0" name=""/>
        <dsp:cNvSpPr/>
      </dsp:nvSpPr>
      <dsp:spPr>
        <a:xfrm>
          <a:off x="1932544" y="651668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932544" y="651668"/>
        <a:ext cx="1603822" cy="295309"/>
      </dsp:txXfrm>
    </dsp:sp>
    <dsp:sp modelId="{912ED6D5-15D0-4CB0-B10E-117B055FB909}">
      <dsp:nvSpPr>
        <dsp:cNvPr id="0" name=""/>
        <dsp:cNvSpPr/>
      </dsp:nvSpPr>
      <dsp:spPr>
        <a:xfrm>
          <a:off x="1811826" y="1031289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237FE41-788C-4B35-B18A-FDD4CC5451AD}">
      <dsp:nvSpPr>
        <dsp:cNvPr id="0" name=""/>
        <dsp:cNvSpPr/>
      </dsp:nvSpPr>
      <dsp:spPr>
        <a:xfrm>
          <a:off x="1932544" y="946978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932544" y="946978"/>
        <a:ext cx="1603822" cy="295309"/>
      </dsp:txXfrm>
    </dsp:sp>
    <dsp:sp modelId="{C90002D3-43F1-4B34-A9C9-ADA32016D243}">
      <dsp:nvSpPr>
        <dsp:cNvPr id="0" name=""/>
        <dsp:cNvSpPr/>
      </dsp:nvSpPr>
      <dsp:spPr>
        <a:xfrm>
          <a:off x="1811826" y="1326598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CC0864B-EC25-47C1-8D7F-11147F02139B}">
      <dsp:nvSpPr>
        <dsp:cNvPr id="0" name=""/>
        <dsp:cNvSpPr/>
      </dsp:nvSpPr>
      <dsp:spPr>
        <a:xfrm>
          <a:off x="1932544" y="1242287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932544" y="1242287"/>
        <a:ext cx="1603822" cy="295309"/>
      </dsp:txXfrm>
    </dsp:sp>
    <dsp:sp modelId="{0B121545-2875-48D2-ABF7-AB6E01D72A39}">
      <dsp:nvSpPr>
        <dsp:cNvPr id="0" name=""/>
        <dsp:cNvSpPr/>
      </dsp:nvSpPr>
      <dsp:spPr>
        <a:xfrm>
          <a:off x="3622594" y="364470"/>
          <a:ext cx="1724540" cy="20288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13C1985-13ED-4CCB-87E8-D642A38ECF75}">
      <dsp:nvSpPr>
        <dsp:cNvPr id="0" name=""/>
        <dsp:cNvSpPr/>
      </dsp:nvSpPr>
      <dsp:spPr>
        <a:xfrm>
          <a:off x="3622594" y="440666"/>
          <a:ext cx="126690" cy="12669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5DFC7C8-0073-4586-B086-59C10734EFAF}">
      <dsp:nvSpPr>
        <dsp:cNvPr id="0" name=""/>
        <dsp:cNvSpPr/>
      </dsp:nvSpPr>
      <dsp:spPr>
        <a:xfrm>
          <a:off x="3622594" y="0"/>
          <a:ext cx="1724540" cy="36447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1910" tIns="27940" rIns="41910" bIns="27940" numCol="1" spcCol="1270" anchor="ctr" anchorCtr="0">
          <a:noAutofit/>
        </a:bodyPr>
        <a:lstStyle/>
        <a:p>
          <a:pPr marL="0" lvl="0" indent="0" algn="l" defTabSz="9779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200" kern="1200"/>
            <a:t>Global</a:t>
          </a:r>
        </a:p>
      </dsp:txBody>
      <dsp:txXfrm>
        <a:off x="3622594" y="0"/>
        <a:ext cx="1724540" cy="364470"/>
      </dsp:txXfrm>
    </dsp:sp>
    <dsp:sp modelId="{06C4B1D0-520C-448E-8854-C49B0EA90C58}">
      <dsp:nvSpPr>
        <dsp:cNvPr id="0" name=""/>
        <dsp:cNvSpPr/>
      </dsp:nvSpPr>
      <dsp:spPr>
        <a:xfrm>
          <a:off x="3622594" y="735979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EABF563-516D-43E8-8928-779EEBE899CA}">
      <dsp:nvSpPr>
        <dsp:cNvPr id="0" name=""/>
        <dsp:cNvSpPr/>
      </dsp:nvSpPr>
      <dsp:spPr>
        <a:xfrm>
          <a:off x="3743311" y="651668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743311" y="651668"/>
        <a:ext cx="1603822" cy="295309"/>
      </dsp:txXfrm>
    </dsp:sp>
    <dsp:sp modelId="{0610B6FC-2EDA-414F-A78D-0956D82BC4E3}">
      <dsp:nvSpPr>
        <dsp:cNvPr id="0" name=""/>
        <dsp:cNvSpPr/>
      </dsp:nvSpPr>
      <dsp:spPr>
        <a:xfrm>
          <a:off x="3622594" y="1031289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00CD0A-8922-49C2-8083-22ABCBEC0FE1}">
      <dsp:nvSpPr>
        <dsp:cNvPr id="0" name=""/>
        <dsp:cNvSpPr/>
      </dsp:nvSpPr>
      <dsp:spPr>
        <a:xfrm>
          <a:off x="3743311" y="946978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743311" y="946978"/>
        <a:ext cx="1603822" cy="295309"/>
      </dsp:txXfrm>
    </dsp:sp>
    <dsp:sp modelId="{AC0141B4-E234-4EBC-ABC6-BF135D842E45}">
      <dsp:nvSpPr>
        <dsp:cNvPr id="0" name=""/>
        <dsp:cNvSpPr/>
      </dsp:nvSpPr>
      <dsp:spPr>
        <a:xfrm>
          <a:off x="3622594" y="1326598"/>
          <a:ext cx="126687" cy="12668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FACAE9D-0EBF-45D7-958C-A83B0B63839C}">
      <dsp:nvSpPr>
        <dsp:cNvPr id="0" name=""/>
        <dsp:cNvSpPr/>
      </dsp:nvSpPr>
      <dsp:spPr>
        <a:xfrm>
          <a:off x="3743311" y="1242287"/>
          <a:ext cx="1603822" cy="29530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743311" y="1242287"/>
        <a:ext cx="1603822" cy="29530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8/layout/SquareAccentList">
  <dgm:title val=""/>
  <dgm:desc val=""/>
  <dgm:catLst>
    <dgm:cat type="list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clrData>
  <dgm:layoutNode name="layout">
    <dgm:varLst>
      <dgm:chMax/>
      <dgm:chPref/>
      <dgm:dir/>
      <dgm:resizeHandles/>
    </dgm:varLst>
    <dgm:choose name="Name0">
      <dgm:if name="Name1" func="var" arg="dir" op="equ" val="norm">
        <dgm:alg type="hierChild">
          <dgm:param type="linDir" val="fromL"/>
          <dgm:param type="vertAlign" val="t"/>
          <dgm:param type="nodeVertAlign" val="t"/>
          <dgm:param type="horzAlign" val="ctr"/>
          <dgm:param type="fallback" val="1D"/>
        </dgm:alg>
      </dgm:if>
      <dgm:else name="Name2">
        <dgm:alg type="hierChild">
          <dgm:param type="linDir" val="fromR"/>
          <dgm:param type="vertAlign" val="t"/>
          <dgm:param type="nodeVertAlign" val="t"/>
          <dgm:param type="horzAlign" val="ctr"/>
          <dgm:param type="fallback" val="1D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forName="Parent" op="equ" val="65"/>
      <dgm:constr type="primFontSz" for="des" forName="Child" op="equ" val="65"/>
      <dgm:constr type="primFontSz" for="des" forName="Child" refType="primFontSz" refFor="des" refForName="Parent" op="lte"/>
      <dgm:constr type="w" for="des" forName="rootComposite" refType="h" refFor="des" refForName="rootComposite" fact="3.0396"/>
      <dgm:constr type="h" for="des" forName="rootComposite" refType="h"/>
      <dgm:constr type="w" for="des" forName="childComposite" refType="w" refFor="des" refForName="rootComposite"/>
      <dgm:constr type="h" for="des" forName="childComposite" refType="h" refFor="des" refForName="rootComposite" fact="0.5205"/>
      <dgm:constr type="sibSp" refType="w" refFor="des" refForName="rootComposite" fact="0.05"/>
      <dgm:constr type="sp" for="des" forName="root" refType="h" refFor="des" refForName="childComposite" fact="0.2855"/>
    </dgm:constrLst>
    <dgm:ruleLst/>
    <dgm:forEach name="Name3" axis="ch">
      <dgm:forEach name="Name4" axis="self" ptType="node" cnt="1">
        <dgm:layoutNode name="root">
          <dgm:varLst>
            <dgm:chMax/>
            <dgm:chPref/>
          </dgm:varLst>
          <dgm:alg type="hierRoot">
            <dgm:param type="hierAlign" val="tL"/>
          </dgm:alg>
          <dgm:shape xmlns:r="http://schemas.openxmlformats.org/officeDocument/2006/relationships" r:blip="">
            <dgm:adjLst/>
          </dgm:shape>
          <dgm:presOf/>
          <dgm:constrLst/>
          <dgm:ruleLst/>
          <dgm:layoutNode name="rootComposite">
            <dgm:varLst/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5">
              <dgm:if name="Name6" func="var" arg="dir" op="equ" val="norm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l" for="ch" forName="ParentSmallAccent" refType="w" fact="0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if>
              <dgm:else name="Name7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r" for="ch" forName="ParentSmallAccent" refType="w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else>
            </dgm:choose>
            <dgm:ruleLst/>
            <dgm:layoutNode name="ParentAccent" styleLbl="alignNode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SmallAccent" styleLbl="fgAcc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" styleLbl="revTx">
              <dgm:varLst>
                <dgm:chMax/>
                <dgm:chPref val="4"/>
                <dgm:bulletEnabled val="1"/>
              </dgm:varLst>
              <dgm:choose name="Name8">
                <dgm:if name="Name9" func="var" arg="dir" op="equ" val="norm">
                  <dgm:alg type="tx">
                    <dgm:param type="txAnchorVertCh" val="mid"/>
                    <dgm:param type="parTxLTRAlign" val="l"/>
                  </dgm:alg>
                </dgm:if>
                <dgm:else name="Name10">
                  <dgm:alg type="tx">
                    <dgm:param type="txAnchorVertCh" val="mid"/>
                    <dgm:param type="parTxLTRAlign" val="r"/>
                  </dgm:alg>
                </dgm:else>
              </dgm:choose>
              <dgm:shape xmlns:r="http://schemas.openxmlformats.org/officeDocument/2006/relationships" type="rect" r:blip="">
                <dgm:adjLst/>
              </dgm:shape>
              <dgm:presOf axis="self" ptType="node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  <dgm:rule type="primFontSz" val="65" fact="NaN" max="NaN"/>
              </dgm:ruleLst>
            </dgm:layoutNode>
          </dgm:layoutNode>
          <dgm:layoutNode name="childShape">
            <dgm:varLst>
              <dgm:chMax val="0"/>
              <dgm:chPref val="0"/>
            </dgm:varLst>
            <dgm:alg type="hierChild">
              <dgm:param type="chAlign" val="r"/>
              <dgm:param type="linDir" val="fromT"/>
              <dgm:param type="fallback" val="2D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11" axis="ch">
              <dgm:forEach name="Name12" axis="self" ptType="node">
                <dgm:layoutNode name="childComposite">
                  <dgm:varLst>
                    <dgm:chMax val="0"/>
                    <dgm:chPref val="0"/>
                  </dgm:varLst>
                  <dgm:alg type="composite"/>
                  <dgm:shape xmlns:r="http://schemas.openxmlformats.org/officeDocument/2006/relationships" r:blip="">
                    <dgm:adjLst/>
                  </dgm:shape>
                  <dgm:presOf/>
                  <dgm:choose name="Name13">
                    <dgm:if name="Name14" func="var" arg="dir" op="equ" val="norm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l" for="ch" forName="ChildAccent" refType="w" fact="0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l" for="ch" forName="Child" refType="w" fact="0.07"/>
                        <dgm:constr type="t" for="ch" forName="Child" refType="h" fact="0"/>
                      </dgm:constrLst>
                    </dgm:if>
                    <dgm:else name="Name15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r" for="ch" forName="ChildAccent" refType="w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r" for="ch" forName="Child" refType="w" fact="0.93"/>
                        <dgm:constr type="t" for="ch" forName="Child" refType="h" fact="0"/>
                      </dgm:constrLst>
                    </dgm:else>
                  </dgm:choose>
                  <dgm:ruleLst/>
                  <dgm:layoutNode name="ChildAccent" styleLbl="solidFgAcc1">
                    <dgm:alg type="sp"/>
                    <dgm:shape xmlns:r="http://schemas.openxmlformats.org/officeDocument/2006/relationships" type="rect" r:blip="">
                      <dgm:adjLst/>
                    </dgm:shape>
                    <dgm:presOf/>
                  </dgm:layoutNode>
                  <dgm:layoutNode name="Child" styleLbl="revTx">
                    <dgm:varLst>
                      <dgm:chMax val="0"/>
                      <dgm:chPref val="0"/>
                      <dgm:bulletEnabled val="1"/>
                    </dgm:varLst>
                    <dgm:choose name="Name16">
                      <dgm:if name="Name17" func="var" arg="dir" op="equ" val="norm">
                        <dgm:alg type="tx">
                          <dgm:param type="txAnchorVertCh" val="mid"/>
                          <dgm:param type="parTxLTRAlign" val="l"/>
                        </dgm:alg>
                      </dgm:if>
                      <dgm:else name="Name18">
                        <dgm:alg type="tx">
                          <dgm:param type="txAnchorVertCh" val="mid"/>
                          <dgm:param type="parTxLTRAlign" val="r"/>
                        </dgm:alg>
                      </dgm:else>
                    </dgm:choose>
                    <dgm:shape xmlns:r="http://schemas.openxmlformats.org/officeDocument/2006/relationships" type="rect" r:blip="">
                      <dgm:adjLst/>
                    </dgm:shape>
                    <dgm:presOf axis="desOrSelf" ptType="node node"/>
                    <dgm:ruleLst>
                      <dgm:rule type="primFontSz" val="5" fact="NaN" max="NaN"/>
                    </dgm:ruleLst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8.emf"/><Relationship Id="rId1" Type="http://schemas.openxmlformats.org/officeDocument/2006/relationships/image" Target="../media/image2.emf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7.xml.rels><?xml version="1.0" encoding="UTF-8" standalone="yes"?>
<Relationships xmlns="http://schemas.openxmlformats.org/package/2006/relationships"><Relationship Id="rId8" Type="http://schemas.microsoft.com/office/2007/relationships/diagramDrawing" Target="../diagrams/drawing3.xml"/><Relationship Id="rId13" Type="http://schemas.openxmlformats.org/officeDocument/2006/relationships/diagramColors" Target="../diagrams/colors4.xml"/><Relationship Id="rId3" Type="http://schemas.openxmlformats.org/officeDocument/2006/relationships/image" Target="../media/image8.emf"/><Relationship Id="rId7" Type="http://schemas.openxmlformats.org/officeDocument/2006/relationships/diagramColors" Target="../diagrams/colors3.xml"/><Relationship Id="rId12" Type="http://schemas.openxmlformats.org/officeDocument/2006/relationships/diagramQuickStyle" Target="../diagrams/quickStyle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3.xml"/><Relationship Id="rId11" Type="http://schemas.openxmlformats.org/officeDocument/2006/relationships/diagramLayout" Target="../diagrams/layout4.xml"/><Relationship Id="rId5" Type="http://schemas.openxmlformats.org/officeDocument/2006/relationships/diagramLayout" Target="../diagrams/layout3.xml"/><Relationship Id="rId10" Type="http://schemas.openxmlformats.org/officeDocument/2006/relationships/diagramData" Target="../diagrams/data4.xml"/><Relationship Id="rId4" Type="http://schemas.openxmlformats.org/officeDocument/2006/relationships/diagramData" Target="../diagrams/data3.xml"/><Relationship Id="rId9" Type="http://schemas.openxmlformats.org/officeDocument/2006/relationships/image" Target="../media/image4.png"/><Relationship Id="rId14" Type="http://schemas.microsoft.com/office/2007/relationships/diagramDrawing" Target="../diagrams/drawing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1022" y="2294678"/>
          <a:ext cx="1700106" cy="34861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17581" y="1131794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37030" y="2412415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-1.183,3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15710" y="1829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39340" y="2953770"/>
          <a:ext cx="827778" cy="336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60781" y="2953933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628649" y="1154207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16178"/>
          <a:ext cx="8964706" cy="4288863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105,0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3376" y="2349626"/>
          <a:ext cx="1920502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190314" y="2992842"/>
          <a:ext cx="1031812" cy="330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44" name="Cuadro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585528" y="2991164"/>
          <a:ext cx="888295" cy="3020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-0,7%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0,2%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9163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9163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01471" y="2442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-474,6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57500" y="1871383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91634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-0,2%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7,5%.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Disminución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↓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1,2%).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 inversión acumulada cayó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46,1% 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febrero, explicada por una menor ejecución en obras públicas y la adquisición de equipamiento militar (radar) registrado en febrero de 2025.</a:t>
          </a:r>
          <a:endParaRPr lang="es-PY" sz="110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24</xdr:row>
      <xdr:rowOff>156883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316942"/>
          <a:ext cx="4091266" cy="146797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internos, pero disimución en impuestos de aduanas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11,8%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↓27,7%)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9,0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↑14,0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Hambre Cero, Adultos Mayores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328,6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81,5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23,5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78%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22%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89646</xdr:colOff>
      <xdr:row>22</xdr:row>
      <xdr:rowOff>22412</xdr:rowOff>
    </xdr:from>
    <xdr:to>
      <xdr:col>9</xdr:col>
      <xdr:colOff>73398</xdr:colOff>
      <xdr:row>26</xdr:row>
      <xdr:rowOff>44823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34A8450-FBE7-40FF-A71E-3AD147FB255C}"/>
            </a:ext>
          </a:extLst>
        </xdr:cNvPr>
        <xdr:cNvSpPr txBox="1"/>
      </xdr:nvSpPr>
      <xdr:spPr>
        <a:xfrm>
          <a:off x="4403911" y="4291853"/>
          <a:ext cx="4017869" cy="739588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febrero, los impuestos internos crecieron, mientras que los externos disminuyeron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↑5,1% y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↓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12,0%,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5</xdr:col>
      <xdr:colOff>763905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9</xdr:row>
      <xdr:rowOff>0</xdr:rowOff>
    </xdr:from>
    <xdr:to>
      <xdr:col>20</xdr:col>
      <xdr:colOff>742949</xdr:colOff>
      <xdr:row>18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6390FFFA-A281-4535-ACDC-BDF02C1AA95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9500" y="21050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EA29B1-D878-400B-8D08-56F712FEF60A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7782DFF-A9DF-4F86-B277-2BFCE3A7B8C3}"/>
            </a:ext>
          </a:extLst>
        </xdr:cNvPr>
        <xdr:cNvSpPr txBox="1"/>
      </xdr:nvSpPr>
      <xdr:spPr>
        <a:xfrm>
          <a:off x="250825" y="1743075"/>
          <a:ext cx="2038480" cy="1321613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B2AD750-E5EF-42CA-9D05-21FDCCD54386}"/>
            </a:ext>
          </a:extLst>
        </xdr:cNvPr>
        <xdr:cNvSpPr txBox="1"/>
      </xdr:nvSpPr>
      <xdr:spPr>
        <a:xfrm>
          <a:off x="2396067" y="1743075"/>
          <a:ext cx="1880040" cy="1319385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61CB98B-018D-40AB-A7AA-8EFEDF4109AC}"/>
            </a:ext>
          </a:extLst>
        </xdr:cNvPr>
        <xdr:cNvSpPr/>
      </xdr:nvSpPr>
      <xdr:spPr>
        <a:xfrm>
          <a:off x="254847" y="2706158"/>
          <a:ext cx="2025861" cy="35242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E5A1122-2390-4D4E-A8B1-8BB4D7DA0EDD}"/>
            </a:ext>
          </a:extLst>
        </xdr:cNvPr>
        <xdr:cNvSpPr txBox="1"/>
      </xdr:nvSpPr>
      <xdr:spPr>
        <a:xfrm>
          <a:off x="418141" y="1707776"/>
          <a:ext cx="1859492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679B22FB-7610-43E5-80FD-B5CD313B6568}"/>
            </a:ext>
          </a:extLst>
        </xdr:cNvPr>
        <xdr:cNvSpPr txBox="1"/>
      </xdr:nvSpPr>
      <xdr:spPr>
        <a:xfrm>
          <a:off x="437590" y="2149637"/>
          <a:ext cx="1801346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-1.183,3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6B676CA-4512-48B0-B646-DD0F348C2351}"/>
            </a:ext>
          </a:extLst>
        </xdr:cNvPr>
        <xdr:cNvSpPr txBox="1"/>
      </xdr:nvSpPr>
      <xdr:spPr>
        <a:xfrm>
          <a:off x="916270" y="2409141"/>
          <a:ext cx="984250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2FF29D22-65B7-4E05-9ACF-F5CF24351EA2}"/>
            </a:ext>
          </a:extLst>
        </xdr:cNvPr>
        <xdr:cNvSpPr txBox="1"/>
      </xdr:nvSpPr>
      <xdr:spPr>
        <a:xfrm>
          <a:off x="539900" y="2696035"/>
          <a:ext cx="827778" cy="340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E94A27E-9A9F-4EFC-AD75-154F5D047D72}"/>
            </a:ext>
          </a:extLst>
        </xdr:cNvPr>
        <xdr:cNvSpPr txBox="1"/>
      </xdr:nvSpPr>
      <xdr:spPr>
        <a:xfrm>
          <a:off x="1161341" y="2696198"/>
          <a:ext cx="1217295" cy="317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82A9FB8-99D8-4DA9-A105-BADFFBFB45FD}"/>
            </a:ext>
          </a:extLst>
        </xdr:cNvPr>
        <xdr:cNvSpPr txBox="1"/>
      </xdr:nvSpPr>
      <xdr:spPr>
        <a:xfrm>
          <a:off x="2624167" y="1730189"/>
          <a:ext cx="1400424" cy="8342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7029AA5-B7A2-46D3-9C50-F093401E4F43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4B15AE2C-C17D-4B71-832C-9A7BE0C4306B}"/>
            </a:ext>
          </a:extLst>
        </xdr:cNvPr>
        <xdr:cNvGrpSpPr>
          <a:grpSpLocks/>
        </xdr:cNvGrpSpPr>
      </xdr:nvGrpSpPr>
      <xdr:grpSpPr bwMode="auto">
        <a:xfrm>
          <a:off x="78441" y="5655237"/>
          <a:ext cx="8964706" cy="4288863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BC772613-F6F9-4E1C-BD7D-6B5D440CEA1E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C47E2C0C-86B6-42EA-91D3-35A36AD9B63F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94130</xdr:colOff>
      <xdr:row>29</xdr:row>
      <xdr:rowOff>175036</xdr:rowOff>
    </xdr:from>
    <xdr:to>
      <xdr:col>5</xdr:col>
      <xdr:colOff>15920</xdr:colOff>
      <xdr:row>29</xdr:row>
      <xdr:rowOff>175036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B78E8DA6-5D15-4FF3-B1B2-57FCF3855133}"/>
            </a:ext>
          </a:extLst>
        </xdr:cNvPr>
        <xdr:cNvCxnSpPr/>
      </xdr:nvCxnSpPr>
      <xdr:spPr>
        <a:xfrm>
          <a:off x="217395" y="5957271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AF4B06CF-217C-411B-BA0A-35AD470AC485}"/>
            </a:ext>
          </a:extLst>
        </xdr:cNvPr>
        <xdr:cNvCxnSpPr/>
      </xdr:nvCxnSpPr>
      <xdr:spPr>
        <a:xfrm>
          <a:off x="132790" y="7304554"/>
          <a:ext cx="4144744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C565A013-4427-49B9-859B-86C68FD8AF48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967,7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84A2F3C-4901-49D4-8424-52DCF3AAEC70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91B0DB02-C972-4461-A5AD-522334517BCF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C8C5F9F-8289-4C93-8ED4-8E9E637A7809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30</xdr:row>
      <xdr:rowOff>75141</xdr:rowOff>
    </xdr:from>
    <xdr:to>
      <xdr:col>7</xdr:col>
      <xdr:colOff>695325</xdr:colOff>
      <xdr:row>31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884A66A4-BA75-4AAE-8032-A9631CA4215C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0</xdr:col>
      <xdr:colOff>56029</xdr:colOff>
      <xdr:row>6</xdr:row>
      <xdr:rowOff>118284</xdr:rowOff>
    </xdr:from>
    <xdr:to>
      <xdr:col>4</xdr:col>
      <xdr:colOff>778372</xdr:colOff>
      <xdr:row>7</xdr:row>
      <xdr:rowOff>103948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DF04FD6A-ABF7-4B73-A21C-04DBF5684C3C}"/>
            </a:ext>
          </a:extLst>
        </xdr:cNvPr>
        <xdr:cNvSpPr txBox="1"/>
      </xdr:nvSpPr>
      <xdr:spPr>
        <a:xfrm>
          <a:off x="56029" y="1384549"/>
          <a:ext cx="4184961" cy="277017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AE54D9E1-CFF2-4BC6-BD62-6FEC238FE337}"/>
            </a:ext>
          </a:extLst>
        </xdr:cNvPr>
        <xdr:cNvSpPr txBox="1"/>
      </xdr:nvSpPr>
      <xdr:spPr>
        <a:xfrm>
          <a:off x="2397335" y="2757520"/>
          <a:ext cx="1879600" cy="300322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7F92525-AE72-47E0-BF36-EA4CF41CFE72}"/>
            </a:ext>
          </a:extLst>
        </xdr:cNvPr>
        <xdr:cNvSpPr txBox="1"/>
      </xdr:nvSpPr>
      <xdr:spPr>
        <a:xfrm>
          <a:off x="3184151" y="2735107"/>
          <a:ext cx="1032932" cy="3339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F07EAF93-F230-4819-9319-4AA46DEB5500}"/>
            </a:ext>
          </a:extLst>
        </xdr:cNvPr>
        <xdr:cNvSpPr txBox="1"/>
      </xdr:nvSpPr>
      <xdr:spPr>
        <a:xfrm>
          <a:off x="2581046" y="2733429"/>
          <a:ext cx="887734" cy="305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-0,7%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271E35FA-4EA7-4DDD-ACC5-A525FBE472FB}"/>
            </a:ext>
          </a:extLst>
        </xdr:cNvPr>
        <xdr:cNvSpPr txBox="1"/>
      </xdr:nvSpPr>
      <xdr:spPr>
        <a:xfrm>
          <a:off x="230716" y="3109383"/>
          <a:ext cx="404234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2C2A3D5A-CC66-446E-91B2-4D077C9F94D5}"/>
            </a:ext>
          </a:extLst>
        </xdr:cNvPr>
        <xdr:cNvSpPr/>
      </xdr:nvSpPr>
      <xdr:spPr bwMode="auto">
        <a:xfrm>
          <a:off x="89647" y="1724025"/>
          <a:ext cx="8518152" cy="3371850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4D740FA-2AD0-46D1-A7B8-3DE03CA51170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D4B79BBB-FAC0-4248-BD59-C2D6892AA06A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8C23A263-3947-4C79-9167-417BC556C9BB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B7C53C96-586E-4FB1-8FD1-8B7387BB3969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30</xdr:row>
      <xdr:rowOff>137945</xdr:rowOff>
    </xdr:from>
    <xdr:to>
      <xdr:col>10</xdr:col>
      <xdr:colOff>156434</xdr:colOff>
      <xdr:row>32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91AA6283-0601-43D9-B49A-F227BF986603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1,3%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15EA9169-7E7F-480A-BDBD-6337271C5463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11A0785-28EF-442A-9569-E61FBD0DAACF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561897</xdr:colOff>
          <xdr:row>28</xdr:row>
          <xdr:rowOff>0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1480E3A7-20FB-45F4-A6F7-701E93B7CE9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619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297205" y="5076264"/>
              <a:ext cx="909280" cy="26894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82742E1D-79A8-4F8B-A7AC-1A5E20C961B4}"/>
            </a:ext>
          </a:extLst>
        </xdr:cNvPr>
        <xdr:cNvSpPr txBox="1"/>
      </xdr:nvSpPr>
      <xdr:spPr>
        <a:xfrm>
          <a:off x="2795308" y="2180105"/>
          <a:ext cx="1295547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-474,6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4DF29A74-3A71-4C39-8796-0E12FEA05972}"/>
            </a:ext>
          </a:extLst>
        </xdr:cNvPr>
        <xdr:cNvSpPr txBox="1"/>
      </xdr:nvSpPr>
      <xdr:spPr>
        <a:xfrm>
          <a:off x="2851337" y="2450727"/>
          <a:ext cx="990412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214393</xdr:colOff>
          <xdr:row>27</xdr:row>
          <xdr:rowOff>156882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7F0F6BBB-8C80-4C6A-BE09-0311484B998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619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80409" y="5073774"/>
              <a:ext cx="841925" cy="2490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B9E367B2-1DBB-4116-9BBD-4FD776FF2E7C}"/>
            </a:ext>
          </a:extLst>
        </xdr:cNvPr>
        <xdr:cNvSpPr txBox="1"/>
      </xdr:nvSpPr>
      <xdr:spPr>
        <a:xfrm>
          <a:off x="202267" y="3413312"/>
          <a:ext cx="3961280" cy="165367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8,1%.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(↑12,5%).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Aceleración de la inversión acumulada a marzo, explicado por la mayor ejecución del MOPC y el MDN.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BEC1DC2F-115E-4CD5-B720-C0744769CFEE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859066B5-2A71-4F5E-9B92-CED6D6C0C739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3E27461F-A306-4A7C-8895-CC631C717A3E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E7851508-3C5B-44C1-9423-C83C37E4A78E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FBF00872-DE20-499D-A63B-F32DD19214F3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CE0225F0-8CC7-41EC-BFC6-E14410A996E7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C8F8CEA6-EBCA-4F4A-AB0E-CAA6D1BB427C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3CB9207B-1ECB-4581-B037-B30FE2F9BBC9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45758627-A2F7-4B94-AA76-6CE8585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F23B219E-4CA2-4CCD-9982-82EFDB58A0BF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716B131-9E70-494B-B9E0-13C3393F0A73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3D9ECDC5-70A1-4C41-B803-51F4E1D338E7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627,8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998B61E4-6C96-44CD-A6E6-7B38BDACC351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FA1B3CC2-35EC-4475-B757-135374C3919B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D992FB30-AF87-49DC-ABEE-FDF436795EB0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339,9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ABF2A65-CFD6-4D1A-AE70-0543A975C3DF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A568AE07-068E-4C2A-B7BF-1FB90E285175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78%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0FFDBF68-BA35-4687-AA72-737E30DB8A47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22%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94FC5A80-6929-42FB-A926-F29F11D6D546}"/>
            </a:ext>
          </a:extLst>
        </xdr:cNvPr>
        <xdr:cNvSpPr txBox="1"/>
      </xdr:nvSpPr>
      <xdr:spPr>
        <a:xfrm>
          <a:off x="4406152" y="4226859"/>
          <a:ext cx="4012827" cy="779927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30436011-AE4D-4A6D-A8D1-E66AB3CAB1A3}"/>
            </a:ext>
          </a:extLst>
        </xdr:cNvPr>
        <xdr:cNvPicPr/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13</xdr:col>
      <xdr:colOff>0</xdr:colOff>
      <xdr:row>19</xdr:row>
      <xdr:rowOff>33618</xdr:rowOff>
    </xdr:from>
    <xdr:to>
      <xdr:col>17</xdr:col>
      <xdr:colOff>762000</xdr:colOff>
      <xdr:row>28</xdr:row>
      <xdr:rowOff>44823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79EFC1E-018D-4AE7-9450-E380D090CB07}"/>
            </a:ext>
          </a:extLst>
        </xdr:cNvPr>
        <xdr:cNvSpPr txBox="1"/>
      </xdr:nvSpPr>
      <xdr:spPr>
        <a:xfrm>
          <a:off x="9637059" y="3664324"/>
          <a:ext cx="4628029" cy="162485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↑8,7%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↑12,1%,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respectivamente).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21</xdr:col>
      <xdr:colOff>-1</xdr:colOff>
      <xdr:row>19</xdr:row>
      <xdr:rowOff>44823</xdr:rowOff>
    </xdr:from>
    <xdr:to>
      <xdr:col>25</xdr:col>
      <xdr:colOff>773205</xdr:colOff>
      <xdr:row>30</xdr:row>
      <xdr:rowOff>68916</xdr:rowOff>
    </xdr:to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B3B8D696-6B5F-4FD0-BF94-7A099E7D8ABE}"/>
            </a:ext>
          </a:extLst>
        </xdr:cNvPr>
        <xdr:cNvSpPr txBox="1"/>
      </xdr:nvSpPr>
      <xdr:spPr>
        <a:xfrm>
          <a:off x="14612470" y="4045323"/>
          <a:ext cx="4852147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</xdr:colOff>
      <xdr:row>9</xdr:row>
      <xdr:rowOff>33617</xdr:rowOff>
    </xdr:from>
    <xdr:to>
      <xdr:col>1</xdr:col>
      <xdr:colOff>1714500</xdr:colOff>
      <xdr:row>14</xdr:row>
      <xdr:rowOff>145677</xdr:rowOff>
    </xdr:to>
    <xdr:sp macro="" textlink="">
      <xdr:nvSpPr>
        <xdr:cNvPr id="27" name="Rectángulo: esquinas redondeadas 26">
          <a:extLst>
            <a:ext uri="{FF2B5EF4-FFF2-40B4-BE49-F238E27FC236}">
              <a16:creationId xmlns:a16="http://schemas.microsoft.com/office/drawing/2014/main" id="{3A8CF4B1-308E-4BDC-B85B-E51643BFA792}"/>
            </a:ext>
          </a:extLst>
        </xdr:cNvPr>
        <xdr:cNvSpPr/>
      </xdr:nvSpPr>
      <xdr:spPr>
        <a:xfrm>
          <a:off x="156882" y="1961029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Operativo</a:t>
          </a:r>
        </a:p>
      </xdr:txBody>
    </xdr:sp>
    <xdr:clientData/>
  </xdr:twoCellAnchor>
  <xdr:twoCellAnchor>
    <xdr:from>
      <xdr:col>5</xdr:col>
      <xdr:colOff>164253</xdr:colOff>
      <xdr:row>30</xdr:row>
      <xdr:rowOff>11206</xdr:rowOff>
    </xdr:from>
    <xdr:to>
      <xdr:col>9</xdr:col>
      <xdr:colOff>154728</xdr:colOff>
      <xdr:row>32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C9FE04-9F08-4408-AA6B-023B91BF6B00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48558</xdr:colOff>
      <xdr:row>9</xdr:row>
      <xdr:rowOff>145676</xdr:rowOff>
    </xdr:from>
    <xdr:to>
      <xdr:col>16</xdr:col>
      <xdr:colOff>545668</xdr:colOff>
      <xdr:row>17</xdr:row>
      <xdr:rowOff>13325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4671824-6C9C-49DF-A92F-3400778C5DC5}"/>
            </a:ext>
          </a:extLst>
        </xdr:cNvPr>
        <xdr:cNvSpPr txBox="1"/>
      </xdr:nvSpPr>
      <xdr:spPr>
        <a:xfrm>
          <a:off x="11119970" y="2073088"/>
          <a:ext cx="2043522" cy="1313208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148166</xdr:colOff>
      <xdr:row>20</xdr:row>
      <xdr:rowOff>0</xdr:rowOff>
    </xdr:from>
    <xdr:to>
      <xdr:col>16</xdr:col>
      <xdr:colOff>482355</xdr:colOff>
      <xdr:row>28</xdr:row>
      <xdr:rowOff>55921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EB1A239-84E6-4BF8-95B2-ACC3BEF673AC}"/>
            </a:ext>
          </a:extLst>
        </xdr:cNvPr>
        <xdr:cNvSpPr txBox="1"/>
      </xdr:nvSpPr>
      <xdr:spPr>
        <a:xfrm>
          <a:off x="11219578" y="3910853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52581</xdr:colOff>
      <xdr:row>17</xdr:row>
      <xdr:rowOff>5540</xdr:rowOff>
    </xdr:from>
    <xdr:to>
      <xdr:col>16</xdr:col>
      <xdr:colOff>537072</xdr:colOff>
      <xdr:row>18</xdr:row>
      <xdr:rowOff>175309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D9FD10F-9F9C-4BB8-9AA9-E90255E1628E}"/>
            </a:ext>
          </a:extLst>
        </xdr:cNvPr>
        <xdr:cNvSpPr/>
      </xdr:nvSpPr>
      <xdr:spPr>
        <a:xfrm>
          <a:off x="11123993" y="3378511"/>
          <a:ext cx="2030903" cy="349063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14</xdr:col>
      <xdr:colOff>47787</xdr:colOff>
      <xdr:row>10</xdr:row>
      <xdr:rowOff>0</xdr:rowOff>
    </xdr:from>
    <xdr:to>
      <xdr:col>16</xdr:col>
      <xdr:colOff>365909</xdr:colOff>
      <xdr:row>13</xdr:row>
      <xdr:rowOff>22412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AA86D21-D31F-4CD6-8311-F4F96A7804CF}"/>
            </a:ext>
          </a:extLst>
        </xdr:cNvPr>
        <xdr:cNvSpPr txBox="1"/>
      </xdr:nvSpPr>
      <xdr:spPr>
        <a:xfrm>
          <a:off x="11119199" y="2117912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14</xdr:col>
      <xdr:colOff>44824</xdr:colOff>
      <xdr:row>13</xdr:row>
      <xdr:rowOff>25562</xdr:rowOff>
    </xdr:from>
    <xdr:to>
      <xdr:col>16</xdr:col>
      <xdr:colOff>304800</xdr:colOff>
      <xdr:row>15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77A7E4EA-F6AD-449D-A94D-8EA7AC20C445}"/>
            </a:ext>
          </a:extLst>
        </xdr:cNvPr>
        <xdr:cNvSpPr txBox="1"/>
      </xdr:nvSpPr>
      <xdr:spPr>
        <a:xfrm>
          <a:off x="11116236" y="2681356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-1.183,3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557121</xdr:colOff>
      <xdr:row>14</xdr:row>
      <xdr:rowOff>137709</xdr:rowOff>
    </xdr:from>
    <xdr:to>
      <xdr:col>16</xdr:col>
      <xdr:colOff>1</xdr:colOff>
      <xdr:row>16</xdr:row>
      <xdr:rowOff>44824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91C30BF-1010-4B9B-B870-447521D2326A}"/>
            </a:ext>
          </a:extLst>
        </xdr:cNvPr>
        <xdr:cNvSpPr txBox="1"/>
      </xdr:nvSpPr>
      <xdr:spPr>
        <a:xfrm>
          <a:off x="11628533" y="2972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14</xdr:col>
      <xdr:colOff>337634</xdr:colOff>
      <xdr:row>16</xdr:row>
      <xdr:rowOff>174712</xdr:rowOff>
    </xdr:from>
    <xdr:to>
      <xdr:col>15</xdr:col>
      <xdr:colOff>392206</xdr:colOff>
      <xdr:row>18</xdr:row>
      <xdr:rowOff>152908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54DF0359-7266-439C-BD25-D4AE0FA034E6}"/>
            </a:ext>
          </a:extLst>
        </xdr:cNvPr>
        <xdr:cNvSpPr txBox="1"/>
      </xdr:nvSpPr>
      <xdr:spPr>
        <a:xfrm>
          <a:off x="11409046" y="3368388"/>
          <a:ext cx="827778" cy="336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185869</xdr:colOff>
      <xdr:row>16</xdr:row>
      <xdr:rowOff>174875</xdr:rowOff>
    </xdr:from>
    <xdr:to>
      <xdr:col>16</xdr:col>
      <xdr:colOff>635000</xdr:colOff>
      <xdr:row>18</xdr:row>
      <xdr:rowOff>131937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DACA343-5C94-4376-B1A6-951830A71178}"/>
            </a:ext>
          </a:extLst>
        </xdr:cNvPr>
        <xdr:cNvSpPr txBox="1"/>
      </xdr:nvSpPr>
      <xdr:spPr>
        <a:xfrm>
          <a:off x="12030487" y="3368551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376266</xdr:colOff>
      <xdr:row>19</xdr:row>
      <xdr:rowOff>168089</xdr:rowOff>
    </xdr:from>
    <xdr:to>
      <xdr:col>16</xdr:col>
      <xdr:colOff>230839</xdr:colOff>
      <xdr:row>24</xdr:row>
      <xdr:rowOff>100853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8789F80-37D4-4550-A4D6-DA0726A2822C}"/>
            </a:ext>
          </a:extLst>
        </xdr:cNvPr>
        <xdr:cNvSpPr txBox="1"/>
      </xdr:nvSpPr>
      <xdr:spPr>
        <a:xfrm>
          <a:off x="11447678" y="3899648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3B768C3-C067-4699-A464-A57D5087E9DE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29</xdr:row>
      <xdr:rowOff>89649</xdr:rowOff>
    </xdr:from>
    <xdr:to>
      <xdr:col>10</xdr:col>
      <xdr:colOff>78441</xdr:colOff>
      <xdr:row>52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FE414D08-EDA5-456E-994B-C24FD775F69B}"/>
            </a:ext>
          </a:extLst>
        </xdr:cNvPr>
        <xdr:cNvGrpSpPr>
          <a:grpSpLocks/>
        </xdr:cNvGrpSpPr>
      </xdr:nvGrpSpPr>
      <xdr:grpSpPr bwMode="auto">
        <a:xfrm>
          <a:off x="78441" y="5617884"/>
          <a:ext cx="9233647" cy="4288863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46C9FE9C-D688-4470-A5F6-ABB0255FDE0B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BF6F274F-50D9-497B-B1B5-194276105BFC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30</xdr:row>
      <xdr:rowOff>163830</xdr:rowOff>
    </xdr:from>
    <xdr:to>
      <xdr:col>4</xdr:col>
      <xdr:colOff>811537</xdr:colOff>
      <xdr:row>30</xdr:row>
      <xdr:rowOff>163830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C0749BA5-ACFC-4898-9656-0108F8821BEC}"/>
            </a:ext>
          </a:extLst>
        </xdr:cNvPr>
        <xdr:cNvCxnSpPr/>
      </xdr:nvCxnSpPr>
      <xdr:spPr>
        <a:xfrm>
          <a:off x="161925" y="5726430"/>
          <a:ext cx="410718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38</xdr:row>
      <xdr:rowOff>9525</xdr:rowOff>
    </xdr:from>
    <xdr:to>
      <xdr:col>4</xdr:col>
      <xdr:colOff>814916</xdr:colOff>
      <xdr:row>38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7C4CCD77-7E6A-4BCA-8256-9E87821BC2B1}"/>
            </a:ext>
          </a:extLst>
        </xdr:cNvPr>
        <xdr:cNvCxnSpPr/>
      </xdr:nvCxnSpPr>
      <xdr:spPr>
        <a:xfrm>
          <a:off x="133350" y="7096125"/>
          <a:ext cx="413914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29</xdr:row>
      <xdr:rowOff>164950</xdr:rowOff>
    </xdr:from>
    <xdr:to>
      <xdr:col>7</xdr:col>
      <xdr:colOff>190501</xdr:colOff>
      <xdr:row>31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06579E79-E24B-4A19-91E0-64A66C01BE46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967,7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29</xdr:row>
      <xdr:rowOff>160717</xdr:rowOff>
    </xdr:from>
    <xdr:to>
      <xdr:col>8</xdr:col>
      <xdr:colOff>381001</xdr:colOff>
      <xdr:row>31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2B2C0C0-E9C5-46FB-8385-3992515E26FD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39</xdr:row>
      <xdr:rowOff>257175</xdr:rowOff>
    </xdr:from>
    <xdr:to>
      <xdr:col>6</xdr:col>
      <xdr:colOff>1192569</xdr:colOff>
      <xdr:row>41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8648799A-482C-41F4-92CE-A957CC0D3A4C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43</xdr:row>
      <xdr:rowOff>34289</xdr:rowOff>
    </xdr:from>
    <xdr:to>
      <xdr:col>6</xdr:col>
      <xdr:colOff>1457402</xdr:colOff>
      <xdr:row>44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A6320CB-544F-4772-8D21-22493A9854C4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31</xdr:row>
      <xdr:rowOff>75141</xdr:rowOff>
    </xdr:from>
    <xdr:to>
      <xdr:col>7</xdr:col>
      <xdr:colOff>695325</xdr:colOff>
      <xdr:row>32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F8E62D71-14A9-4B2D-9D0E-DF44FBE8F30A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327FAA4-8BFC-4511-8B2B-781159CF1947}"/>
            </a:ext>
          </a:extLst>
        </xdr:cNvPr>
        <xdr:cNvSpPr txBox="1"/>
      </xdr:nvSpPr>
      <xdr:spPr>
        <a:xfrm>
          <a:off x="123825" y="1351492"/>
          <a:ext cx="4179358" cy="280939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Resultados</a:t>
          </a:r>
        </a:p>
      </xdr:txBody>
    </xdr:sp>
    <xdr:clientData/>
  </xdr:twoCellAnchor>
  <xdr:twoCellAnchor>
    <xdr:from>
      <xdr:col>14</xdr:col>
      <xdr:colOff>149434</xdr:colOff>
      <xdr:row>27</xdr:row>
      <xdr:rowOff>0</xdr:rowOff>
    </xdr:from>
    <xdr:to>
      <xdr:col>16</xdr:col>
      <xdr:colOff>483183</xdr:colOff>
      <xdr:row>28</xdr:row>
      <xdr:rowOff>62509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694233A-7594-465E-BF20-3A5F35C31B03}"/>
            </a:ext>
          </a:extLst>
        </xdr:cNvPr>
        <xdr:cNvSpPr txBox="1"/>
      </xdr:nvSpPr>
      <xdr:spPr>
        <a:xfrm>
          <a:off x="11220846" y="4931461"/>
          <a:ext cx="1880161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15</xdr:col>
      <xdr:colOff>164725</xdr:colOff>
      <xdr:row>27</xdr:row>
      <xdr:rowOff>0</xdr:rowOff>
    </xdr:from>
    <xdr:to>
      <xdr:col>16</xdr:col>
      <xdr:colOff>423331</xdr:colOff>
      <xdr:row>28</xdr:row>
      <xdr:rowOff>62565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39854FA-E2BF-4AD7-81A1-250625472220}"/>
            </a:ext>
          </a:extLst>
        </xdr:cNvPr>
        <xdr:cNvSpPr txBox="1"/>
      </xdr:nvSpPr>
      <xdr:spPr>
        <a:xfrm>
          <a:off x="12009343" y="4897842"/>
          <a:ext cx="1031812" cy="3306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14</xdr:col>
      <xdr:colOff>333145</xdr:colOff>
      <xdr:row>27</xdr:row>
      <xdr:rowOff>0</xdr:rowOff>
    </xdr:from>
    <xdr:to>
      <xdr:col>15</xdr:col>
      <xdr:colOff>448234</xdr:colOff>
      <xdr:row>28</xdr:row>
      <xdr:rowOff>32311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26D85A48-28DE-47CE-9CD3-62D14CE69B92}"/>
            </a:ext>
          </a:extLst>
        </xdr:cNvPr>
        <xdr:cNvSpPr txBox="1"/>
      </xdr:nvSpPr>
      <xdr:spPr>
        <a:xfrm>
          <a:off x="11404557" y="4896164"/>
          <a:ext cx="888295" cy="302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-0,7%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27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739C641D-B49B-4326-B4EE-9ECB63FC0382}"/>
            </a:ext>
          </a:extLst>
        </xdr:cNvPr>
        <xdr:cNvSpPr/>
      </xdr:nvSpPr>
      <xdr:spPr bwMode="auto">
        <a:xfrm>
          <a:off x="89647" y="1719543"/>
          <a:ext cx="8527677" cy="3522569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C208190-4E1D-4699-8E1C-DC6525DF0B4C}"/>
            </a:ext>
          </a:extLst>
        </xdr:cNvPr>
        <xdr:cNvSpPr txBox="1"/>
      </xdr:nvSpPr>
      <xdr:spPr>
        <a:xfrm>
          <a:off x="4333874" y="1352550"/>
          <a:ext cx="4251960" cy="278822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CED9FAF-A398-47AE-B0A3-DB8D745630DF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27</xdr:row>
      <xdr:rowOff>110714</xdr:rowOff>
    </xdr:from>
    <xdr:to>
      <xdr:col>10</xdr:col>
      <xdr:colOff>44822</xdr:colOff>
      <xdr:row>29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1DED273-CBAA-4D72-A033-51735BEF3193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40</xdr:row>
      <xdr:rowOff>35635</xdr:rowOff>
    </xdr:from>
    <xdr:to>
      <xdr:col>5</xdr:col>
      <xdr:colOff>26895</xdr:colOff>
      <xdr:row>41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AD5BDD34-83DA-4FBB-BD0D-D6FC0CFE15A9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30</xdr:row>
      <xdr:rowOff>145678</xdr:rowOff>
    </xdr:from>
    <xdr:to>
      <xdr:col>9</xdr:col>
      <xdr:colOff>122767</xdr:colOff>
      <xdr:row>36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9AE4C603-C2A0-4454-A477-490153E63BDB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31</xdr:row>
      <xdr:rowOff>137945</xdr:rowOff>
    </xdr:from>
    <xdr:to>
      <xdr:col>10</xdr:col>
      <xdr:colOff>156434</xdr:colOff>
      <xdr:row>33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C89CF2B9-B055-476F-8477-DE4A15EADA6B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1,3%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33</xdr:row>
      <xdr:rowOff>23309</xdr:rowOff>
    </xdr:from>
    <xdr:to>
      <xdr:col>9</xdr:col>
      <xdr:colOff>129554</xdr:colOff>
      <xdr:row>34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DED6B246-EA33-47C6-9ABC-9A6578EEB00D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 editAs="oneCell">
    <xdr:from>
      <xdr:col>14</xdr:col>
      <xdr:colOff>470648</xdr:colOff>
      <xdr:row>0</xdr:row>
      <xdr:rowOff>80684</xdr:rowOff>
    </xdr:from>
    <xdr:to>
      <xdr:col>17</xdr:col>
      <xdr:colOff>98612</xdr:colOff>
      <xdr:row>8</xdr:row>
      <xdr:rowOff>94130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6" name="Mes 2">
              <a:extLst>
                <a:ext uri="{FF2B5EF4-FFF2-40B4-BE49-F238E27FC236}">
                  <a16:creationId xmlns:a16="http://schemas.microsoft.com/office/drawing/2014/main" id="{FAF50E5E-A697-432C-BACB-7421385CFC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88589" y="80684"/>
              <a:ext cx="1947582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11206</xdr:colOff>
      <xdr:row>27</xdr:row>
      <xdr:rowOff>112058</xdr:rowOff>
    </xdr:from>
    <xdr:to>
      <xdr:col>5</xdr:col>
      <xdr:colOff>5167</xdr:colOff>
      <xdr:row>29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F58F51B-F75E-4D75-93A8-01FCAE10C147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7</xdr:col>
          <xdr:colOff>620246</xdr:colOff>
          <xdr:row>6</xdr:row>
          <xdr:rowOff>278467</xdr:rowOff>
        </xdr:to>
        <xdr:pic>
          <xdr:nvPicPr>
            <xdr:cNvPr id="38" name="Imagen 37">
              <a:extLst>
                <a:ext uri="{FF2B5EF4-FFF2-40B4-BE49-F238E27FC236}">
                  <a16:creationId xmlns:a16="http://schemas.microsoft.com/office/drawing/2014/main" id="{87A5D9C1-6DAF-499A-BD3D-4459AD378C8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5847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1344707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27</xdr:row>
          <xdr:rowOff>89646</xdr:rowOff>
        </xdr:from>
        <xdr:to>
          <xdr:col>3</xdr:col>
          <xdr:colOff>205627</xdr:colOff>
          <xdr:row>28</xdr:row>
          <xdr:rowOff>110377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5100C8F-59D0-48F2-B1A2-68747232695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847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507626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14</xdr:col>
      <xdr:colOff>549088</xdr:colOff>
      <xdr:row>22</xdr:row>
      <xdr:rowOff>78442</xdr:rowOff>
    </xdr:from>
    <xdr:to>
      <xdr:col>16</xdr:col>
      <xdr:colOff>297103</xdr:colOff>
      <xdr:row>24</xdr:row>
      <xdr:rowOff>60394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54D1ACAC-6176-4248-B5C9-21A329BB0541}"/>
            </a:ext>
          </a:extLst>
        </xdr:cNvPr>
        <xdr:cNvSpPr txBox="1"/>
      </xdr:nvSpPr>
      <xdr:spPr>
        <a:xfrm>
          <a:off x="11620500" y="4347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-474,6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605117</xdr:colOff>
      <xdr:row>23</xdr:row>
      <xdr:rowOff>168089</xdr:rowOff>
    </xdr:from>
    <xdr:to>
      <xdr:col>16</xdr:col>
      <xdr:colOff>47997</xdr:colOff>
      <xdr:row>27</xdr:row>
      <xdr:rowOff>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8FB4B09B-E2BA-4D1C-A41A-F09E8394DBB5}"/>
            </a:ext>
          </a:extLst>
        </xdr:cNvPr>
        <xdr:cNvSpPr txBox="1"/>
      </xdr:nvSpPr>
      <xdr:spPr>
        <a:xfrm>
          <a:off x="11676529" y="4616824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27</xdr:row>
          <xdr:rowOff>87156</xdr:rowOff>
        </xdr:from>
        <xdr:to>
          <xdr:col>8</xdr:col>
          <xdr:colOff>48743</xdr:colOff>
          <xdr:row>28</xdr:row>
          <xdr:rowOff>107887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443AA06E-4940-49C0-9D90-6062F0AAC1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8475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07377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D655CB87-3C73-4D02-B349-827C0F309CAF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41</xdr:row>
      <xdr:rowOff>123264</xdr:rowOff>
    </xdr:from>
    <xdr:to>
      <xdr:col>5</xdr:col>
      <xdr:colOff>112396</xdr:colOff>
      <xdr:row>52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3558008D-3119-4A0A-80BF-1EFE9D3A15F4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42</xdr:row>
      <xdr:rowOff>154081</xdr:rowOff>
    </xdr:from>
    <xdr:to>
      <xdr:col>6</xdr:col>
      <xdr:colOff>319368</xdr:colOff>
      <xdr:row>47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F75C8F06-D222-40BC-A016-2A2D490E2A15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36</xdr:row>
      <xdr:rowOff>96931</xdr:rowOff>
    </xdr:from>
    <xdr:to>
      <xdr:col>6</xdr:col>
      <xdr:colOff>281268</xdr:colOff>
      <xdr:row>40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5A09170E-C20A-42A0-B595-37636F8847D2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34</xdr:row>
      <xdr:rowOff>22412</xdr:rowOff>
    </xdr:from>
    <xdr:to>
      <xdr:col>5</xdr:col>
      <xdr:colOff>1119468</xdr:colOff>
      <xdr:row>35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7DB250C9-C21E-4440-B47A-B92817F8D751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40</xdr:row>
      <xdr:rowOff>132230</xdr:rowOff>
    </xdr:from>
    <xdr:to>
      <xdr:col>5</xdr:col>
      <xdr:colOff>1140462</xdr:colOff>
      <xdr:row>42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8C29420B-7EB4-4F36-93D1-D51669F6FA2D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39</xdr:row>
      <xdr:rowOff>85501</xdr:rowOff>
    </xdr:from>
    <xdr:to>
      <xdr:col>6</xdr:col>
      <xdr:colOff>666079</xdr:colOff>
      <xdr:row>41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B0F9A5BE-680D-4D0A-96D8-884363D1B65A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36</xdr:row>
      <xdr:rowOff>152401</xdr:rowOff>
    </xdr:from>
    <xdr:to>
      <xdr:col>9</xdr:col>
      <xdr:colOff>174812</xdr:colOff>
      <xdr:row>39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A3BAB0F2-262F-47C2-B2D9-BABDA5182D61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38</xdr:row>
      <xdr:rowOff>172571</xdr:rowOff>
    </xdr:from>
    <xdr:to>
      <xdr:col>10</xdr:col>
      <xdr:colOff>29135</xdr:colOff>
      <xdr:row>50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03E2D0B1-B60D-4487-83B9-79041F169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45</xdr:row>
      <xdr:rowOff>134471</xdr:rowOff>
    </xdr:from>
    <xdr:to>
      <xdr:col>6</xdr:col>
      <xdr:colOff>660699</xdr:colOff>
      <xdr:row>48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945571B6-9DF0-4FDF-B385-F514EE26856E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36</xdr:row>
      <xdr:rowOff>100852</xdr:rowOff>
    </xdr:from>
    <xdr:to>
      <xdr:col>6</xdr:col>
      <xdr:colOff>262777</xdr:colOff>
      <xdr:row>38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AFB890C0-0A32-4E81-81CA-5899D1C87842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37</xdr:row>
      <xdr:rowOff>112059</xdr:rowOff>
    </xdr:from>
    <xdr:to>
      <xdr:col>6</xdr:col>
      <xdr:colOff>134554</xdr:colOff>
      <xdr:row>39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C21CEC87-D179-41A9-A041-C4F00942149B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627,8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38</xdr:row>
      <xdr:rowOff>123264</xdr:rowOff>
    </xdr:from>
    <xdr:to>
      <xdr:col>6</xdr:col>
      <xdr:colOff>13015</xdr:colOff>
      <xdr:row>40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CC0C895-E025-48F5-92C5-8EDC1EBFCE46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42</xdr:row>
      <xdr:rowOff>168087</xdr:rowOff>
    </xdr:from>
    <xdr:to>
      <xdr:col>6</xdr:col>
      <xdr:colOff>401508</xdr:colOff>
      <xdr:row>44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350FED67-FA8D-414D-828E-D64496969FE9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44</xdr:row>
      <xdr:rowOff>11205</xdr:rowOff>
    </xdr:from>
    <xdr:to>
      <xdr:col>6</xdr:col>
      <xdr:colOff>187927</xdr:colOff>
      <xdr:row>45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BB711EEF-5DAA-4017-B096-06E1DC727EDD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339,9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45</xdr:row>
      <xdr:rowOff>72499</xdr:rowOff>
    </xdr:from>
    <xdr:to>
      <xdr:col>6</xdr:col>
      <xdr:colOff>13017</xdr:colOff>
      <xdr:row>47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BD4C1D5-AC87-4B7C-BBEC-112CEF0B9997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39</xdr:row>
      <xdr:rowOff>112060</xdr:rowOff>
    </xdr:from>
    <xdr:to>
      <xdr:col>6</xdr:col>
      <xdr:colOff>737163</xdr:colOff>
      <xdr:row>41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629E93DC-5545-4BCC-9ABF-A05CE99B56E3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78%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46</xdr:row>
      <xdr:rowOff>44824</xdr:rowOff>
    </xdr:from>
    <xdr:to>
      <xdr:col>6</xdr:col>
      <xdr:colOff>725958</xdr:colOff>
      <xdr:row>47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A3FCAB50-FD0D-4DE4-BB6E-654C1668044B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22%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112058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5E935A23-85FB-4395-8D89-7349D6CC8D3F}"/>
            </a:ext>
          </a:extLst>
        </xdr:cNvPr>
        <xdr:cNvSpPr txBox="1"/>
      </xdr:nvSpPr>
      <xdr:spPr>
        <a:xfrm>
          <a:off x="4415117" y="4202206"/>
          <a:ext cx="4017869" cy="717176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158787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15FEFFC2-B3B5-4086-B049-011A0F9C0F3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17</xdr:col>
      <xdr:colOff>711573</xdr:colOff>
      <xdr:row>8</xdr:row>
      <xdr:rowOff>152400</xdr:rowOff>
    </xdr:from>
    <xdr:to>
      <xdr:col>24</xdr:col>
      <xdr:colOff>414617</xdr:colOff>
      <xdr:row>27</xdr:row>
      <xdr:rowOff>0</xdr:rowOff>
    </xdr:to>
    <xdr:graphicFrame macro="">
      <xdr:nvGraphicFramePr>
        <xdr:cNvPr id="65" name="Diagrama 64">
          <a:extLst>
            <a:ext uri="{FF2B5EF4-FFF2-40B4-BE49-F238E27FC236}">
              <a16:creationId xmlns:a16="http://schemas.microsoft.com/office/drawing/2014/main" id="{0BD16184-ED24-4467-8052-ABEC16A5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0" r:lo="rId11" r:qs="rId12" r:cs="rId13"/>
        </a:graphicData>
      </a:graphic>
    </xdr:graphicFrame>
    <xdr:clientData/>
  </xdr:twoCellAnchor>
  <xdr:twoCellAnchor>
    <xdr:from>
      <xdr:col>1</xdr:col>
      <xdr:colOff>22412</xdr:colOff>
      <xdr:row>15</xdr:row>
      <xdr:rowOff>22412</xdr:rowOff>
    </xdr:from>
    <xdr:to>
      <xdr:col>1</xdr:col>
      <xdr:colOff>1703295</xdr:colOff>
      <xdr:row>20</xdr:row>
      <xdr:rowOff>168089</xdr:rowOff>
    </xdr:to>
    <xdr:sp macro="" textlink="">
      <xdr:nvSpPr>
        <xdr:cNvPr id="67" name="Rectángulo: esquinas redondeadas 66">
          <a:extLst>
            <a:ext uri="{FF2B5EF4-FFF2-40B4-BE49-F238E27FC236}">
              <a16:creationId xmlns:a16="http://schemas.microsoft.com/office/drawing/2014/main" id="{2D5A9745-11BC-4A0B-8290-C6249FEFDBEB}"/>
            </a:ext>
          </a:extLst>
        </xdr:cNvPr>
        <xdr:cNvSpPr/>
      </xdr:nvSpPr>
      <xdr:spPr>
        <a:xfrm>
          <a:off x="145677" y="3059206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Primario</a:t>
          </a:r>
        </a:p>
      </xdr:txBody>
    </xdr:sp>
    <xdr:clientData/>
  </xdr:twoCellAnchor>
  <xdr:twoCellAnchor>
    <xdr:from>
      <xdr:col>1</xdr:col>
      <xdr:colOff>22412</xdr:colOff>
      <xdr:row>21</xdr:row>
      <xdr:rowOff>22412</xdr:rowOff>
    </xdr:from>
    <xdr:to>
      <xdr:col>1</xdr:col>
      <xdr:colOff>1703295</xdr:colOff>
      <xdr:row>26</xdr:row>
      <xdr:rowOff>168090</xdr:rowOff>
    </xdr:to>
    <xdr:sp macro="" textlink="">
      <xdr:nvSpPr>
        <xdr:cNvPr id="68" name="Rectángulo: esquinas redondeadas 67">
          <a:extLst>
            <a:ext uri="{FF2B5EF4-FFF2-40B4-BE49-F238E27FC236}">
              <a16:creationId xmlns:a16="http://schemas.microsoft.com/office/drawing/2014/main" id="{79A716A2-7EEA-4A25-AFA1-28E39137751C}"/>
            </a:ext>
          </a:extLst>
        </xdr:cNvPr>
        <xdr:cNvSpPr/>
      </xdr:nvSpPr>
      <xdr:spPr>
        <a:xfrm>
          <a:off x="145677" y="4134971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Global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6085.707962615743" createdVersion="6" refreshedVersion="8" minRefreshableVersion="3" recordCount="278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6-02-02T00:00:00" count="278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  <d v="2026-01-01T00:00:00"/>
        <d v="2026-02-01T00:00:00"/>
      </sharedItems>
      <fieldGroup par="145" base="0">
        <rangePr groupBy="months" startDate="2003-01-01T00:00:00" endDate="2026-02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2/2026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6" count="24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</sharedItems>
    </cacheField>
    <cacheField name="PIB nominal (miles de millones de G.)" numFmtId="3">
      <sharedItems containsSemiMixedTypes="0" containsString="0" containsNumber="1" minValue="49411.959699781924" maxValue="400397.35011067067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3219.991799776995"/>
    </cacheField>
    <cacheField name="IT Suma 12 meses" numFmtId="164">
      <sharedItems containsString="0" containsBlank="1" containsNumber="1" minValue="6050.7447638530002" maxValue="53467.999238208002"/>
    </cacheField>
    <cacheField name="IT anualizado (% del PIB)" numFmtId="164">
      <sharedItems containsString="0" containsBlank="1" containsNumber="1" minValue="10.29975882454338" maxValue="15.043425558126675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297202216436242"/>
    </cacheField>
    <cacheField name="Tributarios Acum. Por año" numFmtId="164">
      <sharedItems containsSemiMixedTypes="0" containsString="0" containsNumber="1" minValue="244.56120121400002" maxValue="41501.263586542009"/>
    </cacheField>
    <cacheField name="Tributarios suma 12 meses" numFmtId="164">
      <sharedItems containsString="0" containsBlank="1" containsNumber="1" minValue="3675.8208073330002" maxValue="41509.404757092008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5084.043134822001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200001" maxValue="4650.7328986090006"/>
    </cacheField>
    <cacheField name="Imp. Externos suma 12 meses" numFmtId="164">
      <sharedItems containsString="0" containsBlank="1" containsNumber="1" minValue="2077.0287278750002" maxValue="41511.919190149005"/>
    </cacheField>
    <cacheField name="% Var. Anualizado Imp. Externos" numFmtId="0">
      <sharedItems containsString="0" containsBlank="1" containsNumber="1" minValue="-0.11314720214970131" maxValue="1.7301459509208779"/>
    </cacheField>
    <cacheField name="% Var. Interanual Imp. Externos" numFmtId="0">
      <sharedItems containsString="0" containsBlank="1" containsNumber="1" minValue="-1" maxValue="2.7232638060216274"/>
    </cacheField>
    <cacheField name="IVA interno" numFmtId="164">
      <sharedItems containsString="0" containsBlank="1" containsNumber="1" minValue="64.908083879000003" maxValue="1251.9923255839999"/>
    </cacheField>
    <cacheField name="IVA externo" numFmtId="164">
      <sharedItems containsString="0" containsBlank="1" containsNumber="1" minValue="51.21967325" maxValue="822.69945653299999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35.411304127000001" maxValue="761.61594965500001"/>
    </cacheField>
    <cacheField name="Itaipú (millones de US$)" numFmtId="164">
      <sharedItems containsSemiMixedTypes="0" containsString="0" containsNumber="1" minValue="5.720287589746154" maxValue="138.03642610365472"/>
    </cacheField>
    <cacheField name="Itaipú acumulado por año (millones de US$)" numFmtId="164">
      <sharedItems containsSemiMixedTypes="0" containsString="0" containsNumber="1" minValue="5.720287589746154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35.411304127000001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4243865064808"/>
    </cacheField>
    <cacheField name="Gasto total acumulado por año" numFmtId="164">
      <sharedItems containsSemiMixedTypes="0" containsString="0" containsNumber="1" minValue="329.09690646299998" maxValue="54890.171784287995"/>
    </cacheField>
    <cacheField name="Gasto Total suma 12 meses" numFmtId="164">
      <sharedItems containsString="0" containsBlank="1" containsNumber="1" minValue="5137.3949724160002" maxValue="55786.629299740998"/>
    </cacheField>
    <cacheField name="GT anualizado (% del PIB)" numFmtId="164">
      <sharedItems containsString="0" containsBlank="1" containsNumber="1" minValue="8.0577334102769385" maxValue="16.284470548837405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38718023555441"/>
    </cacheField>
    <cacheField name="Gasto corr. anualizado" numFmtId="164">
      <sharedItems containsString="0" containsBlank="1" containsNumber="1" minValue="4933.4677585969994" maxValue="53080.739911497993"/>
    </cacheField>
    <cacheField name="Gasto corr. anualizado (% del PIB)" numFmtId="164">
      <sharedItems containsString="0" containsBlank="1" containsNumber="1" minValue="7.4671186052489773" maxValue="15.287857712876205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09199422931918"/>
    </cacheField>
    <cacheField name="Gto. Corr. Primario anualizado" numFmtId="164">
      <sharedItems containsString="0" containsBlank="1" containsNumber="1" minValue="4501.872478882" maxValue="45783.726975963997"/>
    </cacheField>
    <cacheField name="Gto. Corr. Primario anualizado (% del PIB)" numFmtId="164">
      <sharedItems containsString="0" containsBlank="1" containsNumber="1" minValue="7.0025014500217804" maxValue="14.223147426898366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656.682650156999"/>
    </cacheField>
    <cacheField name="Remun. Acum. Por año" numFmtId="164">
      <sharedItems containsSemiMixedTypes="0" containsString="0" containsNumber="1" minValue="196.165527328" maxValue="23899.165545725999"/>
    </cacheField>
    <cacheField name="Remun. Suma 12 meses" numFmtId="164">
      <sharedItems containsString="0" containsBlank="1" containsNumber="1" minValue="2705.6169049379996" maxValue="24213.561993874999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58.5899463809999"/>
    </cacheField>
    <cacheField name="Otras remuneraciones" numFmtId="164">
      <sharedItems containsSemiMixedTypes="0" containsString="0" containsNumber="1" minValue="36.010858893999995" maxValue="2320.2357613279992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393151084936204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423.783847531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64034316239341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164">
      <sharedItems containsString="0" containsBlank="1" containsNumber="1" minValue="-2.5077034123931869" maxValue="3.7693516629732677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34515715615818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30374019324406543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0451765522113" maxValue="3.631659071343539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67665365954391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89261031545655" maxValue="0.41476239587275865"/>
    </cacheField>
    <cacheField name="Resultado fiscal anualizado (% del PIB)" numFmtId="0">
      <sharedItems containsString="0" containsBlank="1" containsNumber="1" minValue="-6.1393624837367256" maxValue="1.7226406419983773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59742430922133" maxValue="0.49274538839534254"/>
    </cacheField>
    <cacheField name="Resultado Primario anualizado (% del PIB)" numFmtId="164">
      <sharedItems containsString="0" containsBlank="1" containsNumber="1" minValue="-5.0746521977588905" maxValue="2.5666855689036567"/>
    </cacheField>
    <cacheField name="SSPP AC financiados con ingresos tributarios" numFmtId="168">
      <sharedItems containsSemiMixedTypes="0" containsString="0" containsNumber="1" minValue="195.45252411800001" maxValue="3522.902357038"/>
    </cacheField>
    <cacheField name="SSPP SP financiados con Ingresos Tributarios" numFmtId="168">
      <sharedItems containsSemiMixedTypes="0" containsString="0" containsNumber="1" minValue="208.573506885" maxValue="3846.4920900120001"/>
    </cacheField>
    <cacheField name="IPC General" numFmtId="164">
      <sharedItems containsString="0" containsBlank="1" containsNumber="1" minValue="45.540552748458985" maxValue="139.69999999999999"/>
    </cacheField>
    <cacheField name="Ingreso Total def." numFmtId="168">
      <sharedItems containsMixedTypes="1" containsNumber="1" minValue="786.57237707066849" maxValue="4033.620828474981"/>
    </cacheField>
    <cacheField name="Ing. Total def. suma 12m" numFmtId="168">
      <sharedItems containsBlank="1" containsMixedTypes="1" containsNumber="1" minValue="12913.240731654379" maxValue="39014.778037190787"/>
    </cacheField>
    <cacheField name="% Var. Real Ing. Total" numFmtId="0">
      <sharedItems containsBlank="1" containsMixedTypes="1" containsNumber="1" minValue="-8.931243730535543E-2" maxValue="0.2436866189075575"/>
    </cacheField>
    <cacheField name="Ingresos Tributarios def." numFmtId="168">
      <sharedItems containsMixedTypes="1" containsNumber="1" minValue="496.31831362554675" maxValue="3339.4221927007934"/>
    </cacheField>
    <cacheField name="Ing. Trib. Def Sum12m" numFmtId="168">
      <sharedItems containsBlank="1" containsMixedTypes="1" containsNumber="1" minValue="7880.3599714699139" maxValue="30026.956227003619"/>
    </cacheField>
    <cacheField name="% Var. Real Ing. Trib." numFmtId="0">
      <sharedItems containsBlank="1" containsMixedTypes="1" containsNumber="1" minValue="-9.5631702953994036E-2" maxValue="0.28593818702326224"/>
    </cacheField>
    <cacheField name="Gasto Total def." numFmtId="168">
      <sharedItems containsMixedTypes="1" containsNumber="1" minValue="685.00371972586311" maxValue="6163.5255171271183"/>
    </cacheField>
    <cacheField name="Gto. Total def. sum12m" numFmtId="0">
      <sharedItems containsBlank="1" containsMixedTypes="1" containsNumber="1" minValue="10925.606034873583" maxValue="41549.075805795175"/>
    </cacheField>
    <cacheField name="% Var. Real Gto. Total" numFmtId="0">
      <sharedItems containsBlank="1" containsMixedTypes="1" containsNumber="1" minValue="-4.8137978639715917E-2" maxValue="0.27326586154238486"/>
    </cacheField>
    <cacheField name="ANANF def." numFmtId="168">
      <sharedItems containsMixedTypes="1" containsNumber="1" minValue="1.9033171740048735" maxValue="2130.1958802094096"/>
    </cacheField>
    <cacheField name="ANANF def. sum12m" numFmtId="0">
      <sharedItems containsBlank="1" containsMixedTypes="1" containsNumber="1" minValue="1794.6152415661625" maxValue="8292.5770164123915"/>
    </cacheField>
    <cacheField name="% Var. Real ANANF" numFmtId="0">
      <sharedItems containsBlank="1" containsMixedTypes="1" containsNumber="1" minValue="-0.25893600939131856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6-02-02T00:00:00"/>
        <groupItems count="6">
          <s v="&lt;1/1/2003"/>
          <s v="Trim.1"/>
          <s v="Trim.2"/>
          <s v="Trim.3"/>
          <s v="Trim.4"/>
          <s v="&gt;2/2/2026"/>
        </groupItems>
      </fieldGroup>
    </cacheField>
    <cacheField name="Años" numFmtId="0" databaseField="0">
      <fieldGroup base="0">
        <rangePr groupBy="years" startDate="2003-01-01T00:00:00" endDate="2026-02-02T00:00:00"/>
        <groupItems count="26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2/2/2026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199999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200001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899999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3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599998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7"/>
    <n v="731.80041932500001"/>
    <n v="1.4810188136056255"/>
    <n v="4980.7051155029994"/>
    <n v="10.079958669449375"/>
    <n v="661.73433267099995"/>
    <n v="1.3392189597246849"/>
    <n v="4501.872478882"/>
    <n v="9.1108964433601862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72"/>
    <n v="-163.05210519000019"/>
    <n v="244.49044440700038"/>
    <n v="-0.32998510113882373"/>
    <n v="0.49480013723900013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0.522669879130737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4"/>
    <n v="2133.0694664430002"/>
    <m/>
    <n v="0.39838724818081728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8.9342904788163136"/>
    <n v="329.09690646299998"/>
    <n v="0.57232262144671187"/>
    <n v="4933.4677585969994"/>
    <n v="8.5796467392212215"/>
    <n v="302.738772396"/>
    <n v="0.52648397608294784"/>
    <n v="4504.7312533529994"/>
    <n v="7.8340438612472365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588379400314422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1.8952922655216193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0691286520719685"/>
    <n v="74.240436290000048"/>
    <n v="252.25549486900036"/>
    <n v="0.12910933004962014"/>
    <n v="0.43869001276678787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0.711576280028664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"/>
    <n v="2196.3314097840002"/>
    <m/>
    <n v="0.50719651006101496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8.9962529339121957"/>
    <n v="387.35418030799991"/>
    <n v="0.67363611005909396"/>
    <n v="4969.1913297429992"/>
    <n v="8.6417725370764966"/>
    <n v="338.05739634499992"/>
    <n v="0.58790554233718684"/>
    <n v="4513.8344709519997"/>
    <n v="7.8498749956564113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7153233461164688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1.8893130404540048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17398969433753658"/>
    <n v="146.25525354400011"/>
    <n v="355.30931913900042"/>
    <n v="0.25434815236729225"/>
    <n v="0.61790784708254831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1.064231975960267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9.0149265254342037"/>
    <n v="413.14719471399997"/>
    <n v="0.71849197266354681"/>
    <n v="4985.1477554519997"/>
    <n v="8.6695218814530328"/>
    <n v="374.32869675199998"/>
    <n v="0.65098387982544692"/>
    <n v="4523.2619447279994"/>
    <n v="7.8662700343186991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0493054505260644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1.9711204404941298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7.8185010031934371E-2"/>
    <n v="140.12940761300001"/>
    <n v="506.84374872800038"/>
    <n v="0.243694876286732"/>
    <n v="0.8814368571662673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1.266853581951954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200001"/>
    <n v="2355.0117478759998"/>
    <m/>
    <n v="0.39862466983215161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9.0804129477910038"/>
    <n v="407.14547139999996"/>
    <n v="0.70805455452679333"/>
    <n v="5023.3757613219996"/>
    <n v="8.7360030670932822"/>
    <n v="386.05033309499998"/>
    <n v="0.67136862823153687"/>
    <n v="4556.8255639259987"/>
    <n v="7.9246395241175893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1864406341609519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1.9642055674936401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22223506666731238"/>
    <n v="155.62540911800008"/>
    <n v="594.33978705600055"/>
    <n v="0.27064351065282544"/>
    <n v="1.0335986096430048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1.764884769828303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099995"/>
    <n v="2453.2029280409997"/>
    <m/>
    <n v="0.65505816904980763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9.1244784531151026"/>
    <n v="404.58858059699992"/>
    <n v="0.70360794193825948"/>
    <n v="5044.9128392599996"/>
    <n v="8.7734575574324811"/>
    <n v="381.67357185899994"/>
    <n v="0.66375713321338026"/>
    <n v="4585.5548404189985"/>
    <n v="7.9746017526035908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6404063167132019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1.9585344099931918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818719067200103"/>
    <n v="261.41164731900017"/>
    <n v="851.44792626400067"/>
    <n v="0.45461320459763788"/>
    <n v="1.4807277115488975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2.103429756562468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6"/>
    <n v="2557.2016302959996"/>
    <m/>
    <n v="0.69651570892406345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0232883146856704"/>
    <n v="369.28821011500003"/>
    <n v="0.64221811974444387"/>
    <n v="4992.6005279369992"/>
    <n v="8.6824827759552132"/>
    <n v="312.04800306900006"/>
    <n v="0.54267338168899082"/>
    <n v="4534.4825401340004"/>
    <n v="7.8857834373645508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0801414418767976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1.9001287606589983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800126812177998"/>
    <n v="203.37901032700003"/>
    <n v="1136.6487821900005"/>
    <n v="0.3536903752411088"/>
    <n v="1.976712019808463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2.550992033117616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0004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1492416246143407"/>
    <n v="507.78726077299996"/>
    <n v="0.88307769084278021"/>
    <n v="5065.002599727999"/>
    <n v="8.8083950610962365"/>
    <n v="458.01737487999998"/>
    <n v="0.79652436565499707"/>
    <n v="4637.1113868179991"/>
    <n v="8.0642622058267595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4017504085032777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1.9146862201832804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870641883199978"/>
    <n v="167.1822405049999"/>
    <n v="1282.9827395230004"/>
    <n v="0.29074165167187205"/>
    <n v="2.231197043589475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2.800444607891468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899995"/>
    <n v="2732.5688450880002"/>
    <m/>
    <n v="0.53970814627311503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3870941331989677"/>
    <n v="453.70295960899995"/>
    <n v="0.78902129464637882"/>
    <n v="5176.3461637309983"/>
    <n v="9.0020293347097482"/>
    <n v="399.78192741599992"/>
    <n v="0.69524883465128651"/>
    <n v="4716.2953110909993"/>
    <n v="8.2019686084892136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4133504746925012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1.9441440954739875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692063792185135"/>
    <n v="129.89800465899995"/>
    <n v="1304.8737833400005"/>
    <n v="0.22590174835172575"/>
    <n v="2.2692671054390505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048874611839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4110292098554691"/>
    <n v="348.14171720499996"/>
    <n v="0.60544288418623238"/>
    <n v="5168.5409400409981"/>
    <n v="8.9884555028215978"/>
    <n v="320.57551217099996"/>
    <n v="0.55750331860976221"/>
    <n v="4683.1982959599991"/>
    <n v="8.1444105759163197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6378454019835331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1.915204759985155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7226406419983773"/>
    <n v="251.20999139200018"/>
    <n v="1475.8953236100003"/>
    <n v="0.43687180883069082"/>
    <n v="2.5666855689036567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268544997349037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9.700285797413418"/>
    <n v="517.660222987"/>
    <n v="0.90024746517001508"/>
    <n v="5303.9220079349998"/>
    <n v="9.2238926830251167"/>
    <n v="492.92516128599999"/>
    <n v="0.85723145658303035"/>
    <n v="4812.4569683859991"/>
    <n v="8.3692004806366409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5682591999356248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2032505409900907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3650086589455335"/>
    <n v="-120.79474236200019"/>
    <n v="1276.3722057529999"/>
    <n v="-0.21007053620959137"/>
    <n v="2.219700861334009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534057232252728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10003"/>
    <m/>
    <n v="0.32147704612428352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7647055692794602"/>
    <n v="467.05774664399996"/>
    <n v="0.81224620674561521"/>
    <n v="5336.7708701399997"/>
    <n v="9.2810191602404881"/>
    <n v="427.17427339699998"/>
    <n v="0.74288604713047413"/>
    <n v="4855.1053553369984"/>
    <n v="8.4433690192674167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693516629732677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3339139638912583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4354376990820097"/>
    <n v="61.586228627999894"/>
    <n v="1307.0707818429996"/>
    <n v="0.10710277465751943"/>
    <n v="2.2730878400550787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1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67"/>
    <n v="754.11834036899995"/>
    <n v="1.3114647295827864"/>
    <n v="5359.088791184"/>
    <n v="9.3198315915526582"/>
    <n v="691.47967651199997"/>
    <n v="1.2025316961858645"/>
    <n v="4884.8506991779986"/>
    <n v="8.4950982601949026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1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5"/>
    <n v="-366.57257076799999"/>
    <n v="1103.5503162650002"/>
    <n v="-0.63749543229446737"/>
    <n v="1.9191514642029659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1.80215943943923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04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8.5760708339528158"/>
    <n v="387.85617341400007"/>
    <n v="0.58468580662904435"/>
    <n v="5417.8480581350004"/>
    <n v="8.1673029313446062"/>
    <n v="319.50890838900006"/>
    <n v="0.48165360417554398"/>
    <n v="4901.6208351709993"/>
    <n v="7.3891002083976058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2260886054864142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1386957104304392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0873928950559753"/>
    <n v="208.24842797899998"/>
    <n v="1237.5583079540002"/>
    <n v="0.31393054549157529"/>
    <n v="1.8655956180029731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1.940359113222641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299999"/>
    <n v="2974.1100665859994"/>
    <n v="0.35412627317408818"/>
    <n v="0.18723170253814447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8.7430971832233535"/>
    <n v="475.36158127000004"/>
    <n v="0.71659854512264309"/>
    <n v="5505.8554590970007"/>
    <n v="8.2999724149004788"/>
    <n v="442.16596988800006"/>
    <n v="0.6665567921537876"/>
    <n v="5005.729408713999"/>
    <n v="7.5460419034676862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1972619299992893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1559187272180682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0413432027812208"/>
    <n v="99.606636112999908"/>
    <n v="1190.9096905229999"/>
    <n v="0.15015510999529927"/>
    <n v="1.7952737142140118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2.121126936768395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8.8209319712568792"/>
    <n v="451.28222394200003"/>
    <n v="0.68029937180149858"/>
    <n v="5543.9904883250001"/>
    <n v="8.3574602463528738"/>
    <n v="421.27017989200004"/>
    <n v="0.63505678605250182"/>
    <n v="5052.6708918539998"/>
    <n v="7.616805296744344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3001949655115173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1247899265556951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1754050389558219"/>
    <n v="220.25398330699994"/>
    <n v="1271.0342662170001"/>
    <n v="0.33202869187195694"/>
    <n v="1.9160599885643517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2.2973485043943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69999"/>
    <n v="0.27733692651854658"/>
    <n v="0.10756058642286481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0058464765054129"/>
    <n v="512.67187449799997"/>
    <n v="0.77284310273677204"/>
    <n v="5649.5168914229998"/>
    <n v="8.5165392925181571"/>
    <n v="434.95315223399996"/>
    <n v="0.65568360668666914"/>
    <n v="5101.5737109929996"/>
    <n v="7.6905253667461704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291502027888889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1082016462537658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1833003816351224"/>
    <n v="217.48643404899985"/>
    <n v="1332.8952911479996"/>
    <n v="0.32785666398838326"/>
    <n v="2.0093143074071089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2.203714799028393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400004"/>
    <n v="3011.1802692500005"/>
    <n v="0.22744850612687495"/>
    <n v="1.2240819726062613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9.1543366229335135"/>
    <n v="489.75491452100005"/>
    <n v="0.73829622132015127"/>
    <n v="5734.6832253470002"/>
    <n v="8.644925921534993"/>
    <n v="463.94019311600005"/>
    <n v="0.69938101964956811"/>
    <n v="5183.8403322499998"/>
    <n v="7.8145407340533515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0493781760948817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1211438027579979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2823437333688419"/>
    <n v="95.111210392999936"/>
    <n v="1166.5948542219994"/>
    <n v="0.14337834119952828"/>
    <n v="1.758619560818524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2.34810925511813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100002"/>
    <n v="2995.5127139330002"/>
    <n v="0.17140262951665086"/>
    <n v="-6.1850946093262804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9.3661276978349086"/>
    <n v="489.00087339400005"/>
    <n v="0.73715951865872209"/>
    <n v="5854.3958886259998"/>
    <n v="8.8253904851820977"/>
    <n v="449.32216607500004"/>
    <n v="0.67734462183601774"/>
    <n v="5321.1144952560007"/>
    <n v="8.0214789246202418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2.9819815572832216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1646091183616054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8173724389216156"/>
    <n v="112.27632801599992"/>
    <n v="1075.4921719109993"/>
    <n v="0.16925442963443754"/>
    <n v="1.621283999483472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2.307412313429584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1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9.4899393395246658"/>
    <n v="558.85539636700003"/>
    <n v="0.84246388380945958"/>
    <n v="5905.4640242200012"/>
    <n v="8.9023747285679793"/>
    <n v="477.18685072900001"/>
    <n v="0.71935010412596356"/>
    <n v="5340.2839711050001"/>
    <n v="8.0503765449694846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817472973904920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2230925877578489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9438038614707167"/>
    <n v="51.157274757000025"/>
    <n v="959.46720616299933"/>
    <n v="7.7118618979188189E-2"/>
    <n v="1.446378569745564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2.40548676393228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6"/>
    <n v="2994.9319202020001"/>
    <n v="9.6013344946685342E-2"/>
    <n v="3.1711137539939704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9.5242828425359249"/>
    <n v="468.99028208599992"/>
    <n v="0.70699393274821076"/>
    <n v="5920.7513466970013"/>
    <n v="8.9254200765251515"/>
    <n v="442.17150071799995"/>
    <n v="0.66656512977484783"/>
    <n v="5382.6735444070009"/>
    <n v="8.1142780207164904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2.8812039213963603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2825855561926462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9861836520371392"/>
    <n v="105.60705234900013"/>
    <n v="935.17625385299971"/>
    <n v="0.15920062337768126"/>
    <n v="1.409760421012374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431303568889557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300007"/>
    <n v="3013.4424689940001"/>
    <n v="7.9469317231857017E-2"/>
    <n v="7.0537995549868837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9.7622731378359724"/>
    <n v="494.68162224200012"/>
    <n v="0.74572313953192804"/>
    <n v="6067.2912517340001"/>
    <n v="9.1463261970226739"/>
    <n v="455.7861386460001"/>
    <n v="0.68708893757923806"/>
    <n v="5517.884170882"/>
    <n v="8.3181054691994856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6690304310535855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3163080524253923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35272237862819394"/>
    <n v="99.422130235999887"/>
    <n v="783.38839269699929"/>
    <n v="0.14987697089396182"/>
    <n v="1.1809431064513831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472261893750906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20004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9.6965080502555683"/>
    <n v="471.13187707800012"/>
    <n v="0.71022234647783777"/>
    <n v="6020.7629058249995"/>
    <n v="9.0761856002662551"/>
    <n v="441.93705349900011"/>
    <n v="0.66621170505004268"/>
    <n v="5466.8960630950005"/>
    <n v="8.2412418662109896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7757538434953348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0828643722176152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69288947127771983"/>
    <n v="109.31767839799981"/>
    <n v="1013.5008134569994"/>
    <n v="0.16479432159179305"/>
    <n v="1.5278332053329862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485732642936368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7961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9.8561949245699445"/>
    <n v="526.69779073100017"/>
    <n v="0.79398690476580291"/>
    <n v="6080.4029499119997"/>
    <n v="9.1660918327169583"/>
    <n v="490.20879821500017"/>
    <n v="0.7389804423586005"/>
    <n v="5529.9305879130006"/>
    <n v="8.3362652138201856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295377183664206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183279152371566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51120980312926356"/>
    <n v="-62.326965019000113"/>
    <n v="889.58761980999918"/>
    <n v="-9.3956714665918761E-2"/>
    <n v="1.3410364220260376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7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603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81"/>
    <n v="-386.1454056659997"/>
    <n v="870.01478491199964"/>
    <n v="-0.58210685677789209"/>
    <n v="1.3115307455799943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1.463407260506166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8.9561683684741773"/>
    <n v="514.97180654400006"/>
    <n v="0.68044466985592245"/>
    <n v="6333.0241964630004"/>
    <n v="8.3679776325456832"/>
    <n v="419.23189163800009"/>
    <n v="0.55394121090456117"/>
    <n v="5765.9404357080011"/>
    <n v="7.6186761805746004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5072388920319879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1.8893871054246572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1785178660733042"/>
    <n v="372.91787865999981"/>
    <n v="1034.6842355929994"/>
    <n v="0.49274538839534254"/>
    <n v="1.367153238578413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1.605800037251177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499999"/>
    <n v="3224.0273742650006"/>
    <n v="8.403095449856135E-2"/>
    <n v="0.16868014723979274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8.9399275749204303"/>
    <n v="480.20169914299993"/>
    <n v="0.63450208824139465"/>
    <n v="6337.8643143360005"/>
    <n v="8.3743729970419629"/>
    <n v="455.62218325599991"/>
    <n v="0.60202458100621148"/>
    <n v="5779.3966490759994"/>
    <n v="7.6364561998811835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6658724623307442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1.888270972400383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77760148993036105"/>
    <n v="211.89176442000019"/>
    <n v="1146.9693638999997"/>
    <n v="0.27997769946583839"/>
    <n v="1.5155182870911394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1.620108491591493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9.0430713624858612"/>
    <n v="524.44793664499991"/>
    <n v="0.69296570913642075"/>
    <n v="6411.0300270389998"/>
    <n v="8.4710486180998945"/>
    <n v="487.40921469799991"/>
    <n v="0.64402555239997938"/>
    <n v="5845.5356838819998"/>
    <n v="7.7238473019401139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5770371291056318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1.9988612429604831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7817588614514936"/>
    <n v="76.352058186000164"/>
    <n v="1003.067438779"/>
    <n v="0.10088581620390916"/>
    <n v="1.3253772023049297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1.812448209993057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699995"/>
    <n v="3288.4499686499998"/>
    <n v="9.3182557178465908E-2"/>
    <n v="0.14455216104845392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0925989458087919"/>
    <n v="535.42171976099996"/>
    <n v="0.70746563347120883"/>
    <n v="6433.7798723019996"/>
    <n v="8.5011085374052673"/>
    <n v="495.01753525699996"/>
    <n v="0.6540786098783492"/>
    <n v="5905.6000669050009"/>
    <n v="7.8032118200687259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719849264184265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013511051912364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70633821227190186"/>
    <n v="277.16726937400006"/>
    <n v="1062.7482741040001"/>
    <n v="0.36622779870172356"/>
    <n v="1.4042349296084449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2.08913368930872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6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9.2167928031527602"/>
    <n v="579.57731385300008"/>
    <n v="0.76580948504215107"/>
    <n v="6523.6022716339994"/>
    <n v="8.6197930402896148"/>
    <n v="558.28565532400012"/>
    <n v="0.73767630304199716"/>
    <n v="5999.9455291129998"/>
    <n v="7.9278727550339907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2.8723408861559689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043994110146401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82834677600956819"/>
    <n v="182.92625120899999"/>
    <n v="1150.56331492"/>
    <n v="0.24170486816981598"/>
    <n v="1.5202670612651943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146712681447619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700003"/>
    <n v="3359.6183239029997"/>
    <n v="0.12155034704958467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9.3629540246490972"/>
    <n v="572.13956168599987"/>
    <n v="0.75598180369448842"/>
    <n v="6606.7409599259991"/>
    <n v="8.7296461945559756"/>
    <n v="527.61217335099991"/>
    <n v="0.69714669142205232"/>
    <n v="6078.2355363889992"/>
    <n v="8.0313192301166687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7837586567985233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112323529461098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714351273374255"/>
    <n v="-1.6283279609997763"/>
    <n v="1036.6586589430005"/>
    <n v="-2.1515490125088854E-3"/>
    <n v="1.3697620917767341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218613785031206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2"/>
    <n v="3408.5200147369997"/>
    <n v="0.14137933768372424"/>
    <n v="0.19507057043704368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4030848682216952"/>
    <n v="601.39509739699997"/>
    <n v="0.79463784871552545"/>
    <n v="6649.2806609559993"/>
    <n v="8.7858549276464046"/>
    <n v="513.80280122099998"/>
    <n v="0.67890003492453299"/>
    <n v="6114.8514868809989"/>
    <n v="8.0797007687317546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8155289168095119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0623003748928834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75322854191662747"/>
    <n v="118.98363741800003"/>
    <n v="1104.4850216040004"/>
    <n v="0.15721595017887702"/>
    <n v="1.4593827008312783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277367644633195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700002"/>
    <n v="3430.8996147989997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9.5328720931664481"/>
    <n v="564.49022452700001"/>
    <n v="0.74587454999315872"/>
    <n v="6744.780603397001"/>
    <n v="8.9120413051912788"/>
    <n v="541.57807564300003"/>
    <n v="0.71560017499835782"/>
    <n v="6214.2580618060001"/>
    <n v="8.2110490740113971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7444955514667475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0384782442001881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70601730726655887"/>
    <n v="65.970174814999979"/>
    <n v="1064.8481440700004"/>
    <n v="8.7167983279672512E-2"/>
    <n v="1.4070095384464405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2.602012640817481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8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9.6436636646380673"/>
    <n v="570.91150245699987"/>
    <n v="0.7543591394126351"/>
    <n v="6821.0104836120008"/>
    <n v="9.0127656846949957"/>
    <n v="528.08090215399989"/>
    <n v="0.69776603409587701"/>
    <n v="6286.5528253140001"/>
    <n v="8.3065738888894121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2.9583489761794124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071597735082581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8675124109683001"/>
    <n v="240.13968426900004"/>
    <n v="1205.5656981030006"/>
    <n v="0.31730235734325357"/>
    <n v="1.5929430369024122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695466677067488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600003"/>
    <n v="3461.7657097289998"/>
    <n v="0.1370993656455759"/>
    <n v="0.10106352514513728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9.7203650611482484"/>
    <n v="553.26764380400004"/>
    <n v="0.73104588337888132"/>
    <n v="6903.1462503380008"/>
    <n v="9.1212936545042727"/>
    <n v="519.41944134300002"/>
    <n v="0.6863214369992644"/>
    <n v="6364.0352131580003"/>
    <n v="8.4089532369356323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751016159192392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1471603765706391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82794123934859887"/>
    <n v="69.46267300599996"/>
    <n v="1165.7106927110008"/>
    <n v="9.1782705383579272E-2"/>
    <n v="1.540281656917237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78478007219363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4999998"/>
    <n v="3491.6016393379996"/>
    <n v="0.13867827963766644"/>
    <n v="0.10204464049580531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7169133726797181"/>
    <n v="582.47164983999994"/>
    <n v="0.76963384099736964"/>
    <n v="6958.920109447"/>
    <n v="9.1949889998916348"/>
    <n v="557.87751955099998"/>
    <n v="0.73713702340030329"/>
    <n v="6431.7039344939994"/>
    <n v="8.4983655507049161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678666995139112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085187324564716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8267937494919444"/>
    <n v="42.886559022000007"/>
    <n v="1270.9242167520008"/>
    <n v="5.6667044921978597E-2"/>
    <n v="1.6793028241359123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5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89992"/>
    <n v="0.11112997453313977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492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42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23"/>
    <n v="-804.3074097770002"/>
    <n v="852.76221264100036"/>
    <n v="-1.062750781603462"/>
    <n v="1.1267752814280199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0.611198166001882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64"/>
    <n v="3525.0808007966662"/>
    <n v="0.10629645200632543"/>
    <n v="0.14130774547370062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8.5307766283508961"/>
    <n v="541.194549585"/>
    <n v="0.60222359479726217"/>
    <n v="7151.6624278250001"/>
    <n v="7.9581360517468518"/>
    <n v="448.30777311200001"/>
    <n v="0.49886222783672135"/>
    <n v="6638.2587742919995"/>
    <n v="7.3868372571640517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0804215376509898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1.8376646840045534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4275685364643618"/>
    <n v="251.71531211500002"/>
    <n v="731.55964609600051"/>
    <n v="0.28010056687313628"/>
    <n v="0.8140556482292356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0.531656752984867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64"/>
    <n v="3527.269830346333"/>
    <n v="9.4057035154816004E-2"/>
    <n v="8.3923641596708176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8.6123961007428811"/>
    <n v="534.76827047400002"/>
    <n v="0.59507264157653106"/>
    <n v="7206.2289991559992"/>
    <n v="8.018855947702777"/>
    <n v="511.23850927500001"/>
    <n v="0.56888949286439261"/>
    <n v="6693.8751003110001"/>
    <n v="7.4487252858041444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1.919260652241986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1.8231633922152399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9.6097260026746734E-2"/>
    <n v="79.044827759999862"/>
    <n v="598.71270943600007"/>
    <n v="8.795849913909945E-2"/>
    <n v="0.66622792192538016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0.877660763378564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59"/>
    <n v="3594.5315734599994"/>
    <n v="0.10374463661763866"/>
    <n v="0.24842529115645084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8.708892933313205"/>
    <n v="598.8624613610001"/>
    <n v="0.66639456096982463"/>
    <n v="7280.6435238719996"/>
    <n v="8.1016619970503996"/>
    <n v="561.18567601000007"/>
    <n v="0.62446906646533795"/>
    <n v="6767.6515616229999"/>
    <n v="7.530821319063909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1687678300653621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1.7409130307760874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42785479928927478"/>
    <n v="375.12751372100007"/>
    <n v="897.48816497099983"/>
    <n v="0.41742962857562643"/>
    <n v="0.99869547727576413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0.87109587173952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621"/>
    <n v="0.20420974347660548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8.7442956236994718"/>
    <n v="581.75611862599999"/>
    <n v="0.64735918224399391"/>
    <n v="7326.977922737"/>
    <n v="8.1532214007226038"/>
    <n v="550.80349848599997"/>
    <n v="0.6129161188698361"/>
    <n v="6823.437524852"/>
    <n v="7.5928981144432388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126800248040054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1.7424531393927265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8434710864732802"/>
    <n v="228.617062506"/>
    <n v="848.93795810300003"/>
    <n v="0.2543975901455931"/>
    <n v="0.94467039492669402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1.06071705362039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55"/>
    <n v="3676.7568129783331"/>
    <n v="0.10684620015413615"/>
    <n v="0.10839469411162828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8.7878253115586809"/>
    <n v="609.481177871"/>
    <n v="0.67821072141284611"/>
    <n v="7356.8817867549997"/>
    <n v="8.1864974425841819"/>
    <n v="571.82457223400002"/>
    <n v="0.63630768223411327"/>
    <n v="6836.9764417619999"/>
    <n v="7.6079637783850771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2728917420617112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1.7722959259001383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50059581616157267"/>
    <n v="303.75931854100008"/>
    <n v="969.77102543500007"/>
    <n v="0.33801343510425841"/>
    <n v="1.079129480360679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1.105928695550338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981E-2"/>
    <n v="4.6976118008840162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8.7896201810611689"/>
    <n v="595.34733679099998"/>
    <n v="0.6624830453118622"/>
    <n v="7380.0895618600007"/>
    <n v="8.2123222957016022"/>
    <n v="574.92164361999994"/>
    <n v="0.63975400198151422"/>
    <n v="6884.2859120310004"/>
    <n v="7.6606082096255594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3163085144891697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7044017472032886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61190676728588045"/>
    <n v="74.30073053199996"/>
    <n v="1045.7000839279999"/>
    <n v="8.2679422901349761E-2"/>
    <n v="1.1636208533619223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1.261768281092637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55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8.8973623234909489"/>
    <n v="688.64678529299988"/>
    <n v="0.7663036202096728"/>
    <n v="7467.3412497560003"/>
    <n v="8.309413120391449"/>
    <n v="589.37342420799985"/>
    <n v="0.65583547076866378"/>
    <n v="6959.8565350179988"/>
    <n v="7.7447007273184987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36440595760169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72870071350103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63570524410065787"/>
    <n v="152.0514531150001"/>
    <n v="1078.7678996249999"/>
    <n v="0.16919788412370348"/>
    <n v="1.2004176371736059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1.4298036061131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1"/>
    <n v="3771.5175980113327"/>
    <n v="9.9279495600248957E-2"/>
    <n v="0.17304028803082083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8.9732007526910067"/>
    <n v="615.12934211300001"/>
    <n v="0.68449581385590741"/>
    <n v="7517.980367342001"/>
    <n v="8.3657626742688613"/>
    <n v="578.71637828200005"/>
    <n v="0.64397665860509612"/>
    <n v="6996.9948376569992"/>
    <n v="7.786027015872361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4566028534221447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7437606591342656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71284219428787887"/>
    <n v="148.79091906000008"/>
    <n v="1161.5886438699999"/>
    <n v="0.16556966846435009"/>
    <n v="1.2925778526843776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296183458993545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756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0859045042897026"/>
    <n v="624.74214360000019"/>
    <n v="0.69519262496018197"/>
    <n v="7571.8110084850005"/>
    <n v="8.4256636511804697"/>
    <n v="594.98056801300015"/>
    <n v="0.66207491701102128"/>
    <n v="7063.8945035160004"/>
    <n v="7.8604707760603336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2102789547038393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7624999523622318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44777900234160772"/>
    <n v="-11.131157872000085"/>
    <n v="910.31780172899983"/>
    <n v="-1.2386388431058824E-2"/>
    <n v="1.0129718774617427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502110695575476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683"/>
    <n v="0.11549702078481139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2491847218941619"/>
    <n v="669.44005994700001"/>
    <n v="0.7449310044081624"/>
    <n v="7687.9834246280016"/>
    <n v="8.5549365163997688"/>
    <n v="640.02372194099996"/>
    <n v="0.71219746554800734"/>
    <n v="7184.498784114001"/>
    <n v="7.9946752750992847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2529259736813163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7349039040456748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51802206963564079"/>
    <n v="128.15547768400003"/>
    <n v="969.01060640699995"/>
    <n v="0.14260722419137595"/>
    <n v="1.0782833109361245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724040347916251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58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45361940621647"/>
    <n v="707.56033004400012"/>
    <n v="0.78734999423365459"/>
    <n v="7813.0721048320011"/>
    <n v="8.6941311086562187"/>
    <n v="656.6096542680001"/>
    <n v="0.73065374859204302"/>
    <n v="7283.2309188310001"/>
    <n v="8.1045411655390041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2704209416997809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0081399978693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56960694191284855"/>
    <n v="115.600391003"/>
    <n v="1041.7244383879997"/>
    <n v="0.12863633435181457"/>
    <n v="1.1591968850300636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68"/>
    <n v="3838.4955399999994"/>
    <n v="0.10087420916100709"/>
    <n v="-3.5493019949845772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46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91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62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0.29975882454338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25"/>
    <n v="0.10373740050640046"/>
    <n v="0.16892017959812011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8.0577334102769385"/>
    <n v="611.14059862300007"/>
    <n v="0.56901319131809625"/>
    <n v="8019.9534984940001"/>
    <n v="7.4671186052489773"/>
    <n v="531.85118530500006"/>
    <n v="0.49518939003330165"/>
    <n v="7520.9379911060005"/>
    <n v="7.002501450021780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2420254142664411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3651138246097181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87691158965672289"/>
    <n v="479.53418263899994"/>
    <n v="1440.8500413130002"/>
    <n v="0.44647872555731588"/>
    <n v="1.3415287448839204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0.656921938748193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8000004"/>
    <n v="4003.6427963016658"/>
    <n v="0.13505430229831861"/>
    <n v="0.42915815110129119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8.1742327882244581"/>
    <n v="628.12377604699998"/>
    <n v="0.58482567703173627"/>
    <n v="8113.3090040670004"/>
    <n v="7.5540388888513039"/>
    <n v="608.51103087199999"/>
    <n v="0.56656488606533595"/>
    <n v="7618.210512702999"/>
    <n v="7.0930687402102857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482689150523735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3792053998405789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034837506831563"/>
    <n v="318.47444804200001"/>
    <n v="1680.2796615950003"/>
    <n v="0.29652123004421133"/>
    <n v="1.5644538993241732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0.597925672059656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599996"/>
    <n v="3991.677099041998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8.3770062544777186"/>
    <n v="741.54267326499996"/>
    <n v="0.69042633391364761"/>
    <n v="8255.9892159709998"/>
    <n v="7.6868838068560388"/>
    <n v="692.12717524199991"/>
    <n v="0.64441716631130708"/>
    <n v="7749.1520119349989"/>
    <n v="7.2149841235473673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2209194175819365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3464074621245246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87451195545741078"/>
    <n v="140.94229679499983"/>
    <n v="1446.094444669"/>
    <n v="0.13122680160952233"/>
    <n v="1.3464116387660818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0.754288274630888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6999997"/>
    <n v="4060.5635050673322"/>
    <n v="0.11372875688539796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8.5618687363900428"/>
    <n v="730.47772597100015"/>
    <n v="0.6801241203383892"/>
    <n v="8404.7108233160016"/>
    <n v="7.8253536722258241"/>
    <n v="694.88522248000015"/>
    <n v="0.64698509464766141"/>
    <n v="7893.2337359290004"/>
    <n v="7.3491339440062999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192419538240844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3650565124466516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2736302579419185"/>
    <n v="182.61730245599989"/>
    <n v="1400.094684619"/>
    <n v="0.17002904780752659"/>
    <n v="1.3035827540137146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0.867915776195165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6000004"/>
    <n v="4132.4157017456655"/>
    <n v="0.12392956943982081"/>
    <n v="0.22785220812471607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8.5799509143344039"/>
    <n v="654.62658918000011"/>
    <n v="0.60950158682024369"/>
    <n v="8449.8562346250001"/>
    <n v="7.8673871005730502"/>
    <n v="642.50722869900017"/>
    <n v="0.59821764332251792"/>
    <n v="7963.9163923940005"/>
    <n v="7.4149442731132371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2879648618607611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3523907401103172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93557412175044408"/>
    <n v="394.44467590000028"/>
    <n v="1490.7800419780003"/>
    <n v="0.36725464539256747"/>
    <n v="1.3880169492102581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1.04197008817656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600001"/>
    <n v="4200.4218202039992"/>
    <n v="0.13841964835323761"/>
    <n v="0.23583003492886223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8.6769134363711498"/>
    <n v="700.13225375600007"/>
    <n v="0.65187043530090827"/>
    <n v="8554.6411515900018"/>
    <n v="7.964948938452256"/>
    <n v="648.77288025900009"/>
    <n v="0.60405138828705773"/>
    <n v="8037.767629033"/>
    <n v="7.4837047644591372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3650566518054084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340908440004815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1.0241482118005933"/>
    <n v="200.36616393799983"/>
    <n v="1616.8454753840001"/>
    <n v="0.18655443711547159"/>
    <n v="1.5053923857937099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1.214216432757009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7"/>
    <n v="4316.5451843453329"/>
    <n v="0.1606292413208612"/>
    <n v="0.35292037227124373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8.7456498124236539"/>
    <n v="713.54285020800012"/>
    <n v="0.66435660673482244"/>
    <n v="8579.5372165050012"/>
    <n v="7.9881288570838525"/>
    <n v="670.53056281500017"/>
    <n v="0.6243092608858849"/>
    <n v="8118.9247676400009"/>
    <n v="7.5592675441878354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4685666203333558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366971455926635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1015951644067212"/>
    <n v="178.97118735399999"/>
    <n v="1643.7652096230001"/>
    <n v="0.16663426828416211"/>
    <n v="1.5304564773027372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246974357258656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106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8.7528525417623673"/>
    <n v="664.92511693400002"/>
    <n v="0.6190902120177596"/>
    <n v="8629.3329913260004"/>
    <n v="8.0344920880799542"/>
    <n v="647.66270052300001"/>
    <n v="0.603017735939396"/>
    <n v="8187.8710898809995"/>
    <n v="7.6234612288103119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4941218154962881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3492156916002456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1449061238960425"/>
    <n v="176.15789726700001"/>
    <n v="1671.1321878299998"/>
    <n v="0.16401490512269928"/>
    <n v="1.5559369831656831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1.498830292963572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8.8116035213795332"/>
    <n v="740.73724960999994"/>
    <n v="0.68967643006938129"/>
    <n v="8745.3280973359997"/>
    <n v="8.1424913694183978"/>
    <n v="694.75573513599988"/>
    <n v="0.64686453318110049"/>
    <n v="8287.6462570040003"/>
    <n v="7.7163586510841302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6872267715840383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2682576637042251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4189691078798135"/>
    <n v="299.44226639600009"/>
    <n v="1981.7056120980001"/>
    <n v="0.27880098295125616"/>
    <n v="1.845101826214081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522449436707889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8.846015105814347"/>
    <n v="696.70807852600001"/>
    <n v="0.64868229679457312"/>
    <n v="8772.5961159150011"/>
    <n v="8.1678797371811012"/>
    <n v="680.19505638800001"/>
    <n v="0.63330755741999922"/>
    <n v="8327.8175914509993"/>
    <n v="7.75376087778073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764343308935401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2262608831978832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4501734476956569"/>
    <n v="148.76674320999996"/>
    <n v="2002.3168776240002"/>
    <n v="0.13851188990987123"/>
    <n v="1.8642923070960244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706318712877495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4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8.8852409179567857"/>
    <n v="770.19183449499997"/>
    <n v="0.71710063880649788"/>
    <n v="8835.2276203660003"/>
    <n v="8.226193899756808"/>
    <n v="750.05747457199993"/>
    <n v="0.69835418926485848"/>
    <n v="8421.265411755001"/>
    <n v="7.840767112635211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82107779492071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211543640480786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5999234308726313"/>
    <n v="245.62093404700008"/>
    <n v="2132.337420668"/>
    <n v="0.22868968589473657"/>
    <n v="1.9853502179942286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6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200004"/>
    <n v="4681.256769306"/>
    <n v="0.21955508884243757"/>
    <n v="0.14140419274237814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52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197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7"/>
    <n v="-527.85513595399959"/>
    <n v="2237.4829620899995"/>
    <n v="-0.49146879807950145"/>
    <n v="2.0832478216098385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3710857861017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38"/>
    <n v="4650.124686975334"/>
    <n v="0.19517021877444418"/>
    <n v="-8.6073435064440318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8.7484315198194054"/>
    <n v="644.64137129300002"/>
    <n v="0.58059619103321447"/>
    <n v="8981.8014315170003"/>
    <n v="8.0894586230104544"/>
    <n v="590.66509630200005"/>
    <n v="0.53198246398824001"/>
    <n v="8561.9678847590003"/>
    <n v="7.7113355782130881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6226542662822951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0451765522113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181366110611649"/>
    <n v="347.48601974199994"/>
    <n v="2105.4347991929999"/>
    <n v="0.31296325132660358"/>
    <n v="1.8962596558585323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300820453864663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1"/>
    <n v="4609.4442809326674"/>
    <n v="0.15131257093929706"/>
    <n v="-0.10822015118843509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8.8041535584626001"/>
    <n v="703.79945201500004"/>
    <n v="0.63387691092734211"/>
    <n v="9057.4771074850014"/>
    <n v="8.1576159135249604"/>
    <n v="685.77256334500009"/>
    <n v="0.61764099532516981"/>
    <n v="8639.2294172320017"/>
    <n v="7.7809211702411636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496666895402063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118091411397162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384857754262347"/>
    <n v="168.90783255500003"/>
    <n v="1955.8681837059999"/>
    <n v="0.15212682366384431"/>
    <n v="1.7615524975461434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294086991539109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418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8.8613203417378816"/>
    <n v="805.63523747500005"/>
    <n v="0.72559530162007679"/>
    <n v="9121.5696716950006"/>
    <n v="8.2153408755131085"/>
    <n v="772.24680568799999"/>
    <n v="0.69552401363987415"/>
    <n v="8719.3490476780007"/>
    <n v="7.8530809079425046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32766649801231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066790861865886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26087563614642"/>
    <n v="-51.36879437999994"/>
    <n v="1763.5570925310003"/>
    <n v="-4.6265299875456842E-2"/>
    <n v="1.588347531185247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545234974788844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34"/>
    <n v="4582.8868444093332"/>
    <n v="0.12863321523975024"/>
    <n v="-0.10746139850040315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8.8994718874668983"/>
    <n v="797.78347880999991"/>
    <n v="0.71852361590951275"/>
    <n v="9188.8754245339987"/>
    <n v="8.2759597955407909"/>
    <n v="758.13017080399993"/>
    <n v="0.68280986774598329"/>
    <n v="8782.5939960019987"/>
    <n v="7.9100424647618475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6457630873219466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211141384371287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246489488848173"/>
    <n v="407.14266678600029"/>
    <n v="1988.0824568610008"/>
    <n v="0.36669300493221985"/>
    <n v="1.7905662796637607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555015909830864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1"/>
    <n v="4446.908487112667"/>
    <n v="7.6103859840177757E-2"/>
    <n v="-0.35118575091729554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112332856908461"/>
    <n v="799.39457381200009"/>
    <n v="0.71997464847305703"/>
    <n v="9333.6434091659994"/>
    <n v="8.4063450674204194"/>
    <n v="785.46874172600008"/>
    <n v="0.7074323491014195"/>
    <n v="8925.5555090289999"/>
    <n v="8.0388007381586313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426830529224031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204896006956381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22193452226765"/>
    <n v="171.46291946099973"/>
    <n v="1765.1007004220003"/>
    <n v="0.15442806244783169"/>
    <n v="1.5897377814885527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5902685006228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062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271882777476474"/>
    <n v="851.04509168699985"/>
    <n v="0.76649368258805439"/>
    <n v="9484.5562470969999"/>
    <n v="8.5422647008516517"/>
    <n v="797.77627639899981"/>
    <n v="0.71851712905871612"/>
    <n v="9074.5589051690004"/>
    <n v="8.173000633018585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183857231463256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681262927487207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502594303976054"/>
    <n v="11.375656133000277"/>
    <n v="1576.1101926170011"/>
    <n v="1.0245483637012276E-2"/>
    <n v="1.4195234982306719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793532557405468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6"/>
    <n v="4403.8933093823334"/>
    <n v="2.0235656365600763E-2"/>
    <n v="-0.1530074438121416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3724054727831678"/>
    <n v="858.26279295799986"/>
    <n v="0.77299430456574869"/>
    <n v="9629.2761898469998"/>
    <n v="8.672606703814731"/>
    <n v="822.36857807099989"/>
    <n v="0.74066618326984168"/>
    <n v="9226.3969204250006"/>
    <n v="8.309753527321438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211270846223005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461004273081271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750266573141734"/>
    <n v="310.38333170800007"/>
    <n v="1707.5223369710011"/>
    <n v="0.27954671880337073"/>
    <n v="1.5378798338074666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1.91203686238113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5787071764007745"/>
    <n v="838.48600800600013"/>
    <n v="0.75518234504012405"/>
    <n v="9802.8370809190001"/>
    <n v="8.8289243041986687"/>
    <n v="821.21243793700012"/>
    <n v="0.73962490576580164"/>
    <n v="9399.9466578389984"/>
    <n v="8.4660610821643356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33329685980366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098911549790748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34385310012921"/>
    <n v="7.8593390679998123"/>
    <n v="1539.2237787720007"/>
    <n v="7.0785129998198965E-3"/>
    <n v="1.3863017530356245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1.999332301537567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35"/>
    <n v="4289.388534267001"/>
    <n v="-5.1406981861790157E-2"/>
    <n v="-0.19554535178898425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7197441697580018"/>
    <n v="854.94502344500006"/>
    <n v="0.77000615576277909"/>
    <n v="9917.044854754"/>
    <n v="8.9317855250694063"/>
    <n v="817.01836288700008"/>
    <n v="0.73584751246252478"/>
    <n v="9522.2092855900009"/>
    <n v="8.57617690646454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79588131779568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109736186564013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861451312316753"/>
    <n v="8.4539264179998881"/>
    <n v="1248.2354387940004"/>
    <n v="7.614028041236111E-3"/>
    <n v="1.1242231317280325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0426707696698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9.939620984789725"/>
    <n v="838.11615963999998"/>
    <n v="0.7548492411437222"/>
    <n v="10058.452935867999"/>
    <n v="9.0591447001583845"/>
    <n v="800.22170831899996"/>
    <n v="0.7207196070897729"/>
    <n v="9642.2359375210017"/>
    <n v="8.6842788993506534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46460921772572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341541946604377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3049189751681991"/>
    <n v="-94.241590804000111"/>
    <n v="1005.2271047800003"/>
    <n v="-8.4878679982895208E-2"/>
    <n v="0.90535769832455326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4618900089016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79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064639141532776"/>
    <n v="855.69626836900011"/>
    <n v="0.77068276443363226"/>
    <n v="10143.957369741998"/>
    <n v="9.1361542605657799"/>
    <n v="838.16326202000016"/>
    <n v="0.75489166389788365"/>
    <n v="9730.3417249689992"/>
    <n v="8.7636313686122627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815498593573848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87924334793979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9362552456340603"/>
    <n v="202.08650240199987"/>
    <n v="961.69267313500029"/>
    <n v="0.18200918957231646"/>
    <n v="0.86614841651692542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1"/>
    <n v="4375.65234212"/>
    <n v="-6.5282560270947476E-2"/>
    <n v="0.20554633159558944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23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5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79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093E-2"/>
    <n v="-961.27574450599991"/>
    <n v="528.27206458299975"/>
    <n v="-0.86577290978603594"/>
    <n v="0.47578818577986676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0.81369543004419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299995"/>
    <n v="4421.6402864816664"/>
    <n v="-4.9135112684964399E-2"/>
    <n v="0.13912131090531998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9.1057131450749615"/>
    <n v="690.32389563699996"/>
    <n v="0.53474976856005718"/>
    <n v="10638.563910155"/>
    <n v="8.2410150144335308"/>
    <n v="685.97175841899991"/>
    <n v="0.53137844622169361"/>
    <n v="10253.731483114001"/>
    <n v="7.942909947239404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7079822849692339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6259539237068756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8.2028361262358629E-2"/>
    <n v="309.93915902499998"/>
    <n v="490.7252038659999"/>
    <n v="0.24009004266523346"/>
    <n v="0.38013342845648612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0.971863406404857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586E-2"/>
    <n v="0.31494351858172354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9.1654099134440106"/>
    <n v="750.29685308000012"/>
    <n v="0.58120698279702521"/>
    <n v="10685.061311220003"/>
    <n v="8.2770335770463905"/>
    <n v="731.35069714600013"/>
    <n v="0.56653060759859697"/>
    <n v="10299.309616915001"/>
    <n v="7.9782164122995392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1.806453492960848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7194607357416898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8.6992757219158945E-2"/>
    <n v="176.23578170699994"/>
    <n v="498.05315301799982"/>
    <n v="0.13651858797797611"/>
    <n v="0.3858099219660087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1.053739318932093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"/>
    <n v="4628.9812373930008"/>
    <n v="1.3257450485431033E-3"/>
    <n v="0.29978611897650831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9.193745738400354"/>
    <n v="868.73119250299999"/>
    <n v="0.67295049044074051"/>
    <n v="10748.157266248001"/>
    <n v="8.3259099777642938"/>
    <n v="813.84189728900003"/>
    <n v="0.63043126417952822"/>
    <n v="10340.904708515998"/>
    <n v="8.0104374693242892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1.8599935805317398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6691529569894683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9084062354227166"/>
    <n v="104.19227411600005"/>
    <n v="653.61422151399995"/>
    <n v="8.0711090578523423E-2"/>
    <n v="0.50631313198227323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1.036456076735051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7999996"/>
    <n v="4749.3883252566666"/>
    <n v="3.6331135046558938E-2"/>
    <n v="0.36273581997898585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9.3000246689296411"/>
    <n v="931.50321161699992"/>
    <n v="0.72157595872513847"/>
    <n v="10881.876999055003"/>
    <n v="8.4294941020027778"/>
    <n v="916.78896479599996"/>
    <n v="0.71017777284196737"/>
    <n v="10499.563502508001"/>
    <n v="8.133340289150558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736431407805411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6792303378537761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5.7201069951635972E-2"/>
    <n v="209.68445240100004"/>
    <n v="456.1560071289997"/>
    <n v="0.16242913377438534"/>
    <n v="0.35335488280385446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1.3017136722290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45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9.2969129813433753"/>
    <n v="851.45262282900001"/>
    <n v="0.65956588765845625"/>
    <n v="10933.935048072"/>
    <n v="8.4698201429227993"/>
    <n v="819.46962591099998"/>
    <n v="0.63479070559123874"/>
    <n v="10533.564386693"/>
    <n v="8.1596785994186494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0048006908856641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6885537675654234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31624692332024162"/>
    <n v="523.92984594200027"/>
    <n v="808.62293361000025"/>
    <n v="0.40585494089069801"/>
    <n v="0.62638846682439209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1.571195261676067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8"/>
    <n v="5087.8362477619994"/>
    <n v="0.13770784564102789"/>
    <n v="0.30295184577751022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9.4676898008882659"/>
    <n v="1056.8649417809997"/>
    <n v="0.81868567289724947"/>
    <n v="11139.754898166"/>
    <n v="8.6292556164714469"/>
    <n v="1041.6034793959998"/>
    <n v="0.806863594116772"/>
    <n v="10777.39158969"/>
    <n v="8.3485559382958989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035054607877983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7023636059363796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40114185485141918"/>
    <n v="82.961618272000223"/>
    <n v="880.20889574900013"/>
    <n v="6.4265059417337844E-2"/>
    <n v="0.68184153302696882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1.584950942871107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8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9.4889297666391599"/>
    <n v="890.93763686800025"/>
    <n v="0.69015240255732468"/>
    <n v="11172.429742075999"/>
    <n v="8.6545667281525596"/>
    <n v="870.7488270040003"/>
    <n v="0.67451342283996318"/>
    <n v="10825.771838623001"/>
    <n v="8.3860330227243995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0960211762319467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7026281293971581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39339304683478876"/>
    <n v="284.67476698099972"/>
    <n v="854.50033102199984"/>
    <n v="0.22051933406927338"/>
    <n v="0.66192675226294939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1.67999058484949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9.557228576393948"/>
    <n v="938.14123771800007"/>
    <n v="0.72671801297480321"/>
    <n v="11272.084971787999"/>
    <n v="8.7317632606224613"/>
    <n v="905.93950753100012"/>
    <n v="0.70177339223435808"/>
    <n v="10910.498908217001"/>
    <n v="8.4516656643619257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227620084555432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6917399079885982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43102210046694528"/>
    <n v="71.363929546000023"/>
    <n v="918.00492150000002"/>
    <n v="5.5281071754072326E-2"/>
    <n v="0.71111969672748354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1.842121805254347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2"/>
    <n v="5522.6435235839999"/>
    <n v="0.28751300551693793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9.6033166570829191"/>
    <n v="896.33437767199985"/>
    <n v="0.69433291248050277"/>
    <n v="11313.474326014999"/>
    <n v="8.7638249460626199"/>
    <n v="862.29457099099989"/>
    <n v="0.66796445144425665"/>
    <n v="10955.775116321001"/>
    <n v="8.4867382468958823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8805148171426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6267018473770052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61210330079442088"/>
    <n v="238.33001548399966"/>
    <n v="1147.8810105659998"/>
    <n v="0.1846190193132187"/>
    <n v="0.88918999996116155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072981712106676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000011"/>
    <n v="5725.6573439326667"/>
    <n v="0.34466432079672238"/>
    <n v="0.48355907391236075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5892801865676383"/>
    <n v="952.63002850699968"/>
    <n v="0.73794155249024085"/>
    <n v="11427.988194881998"/>
    <n v="8.8525315159214522"/>
    <n v="907.19212412599973"/>
    <n v="0.70274371419265047"/>
    <n v="11062.745532127999"/>
    <n v="8.569601386151378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837015255390367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6112559129470998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87244561259193654"/>
    <n v="249.38525947400041"/>
    <n v="1491.5078608440001"/>
    <n v="0.19318280973448568"/>
    <n v="1.1553757423620121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293003074910089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"/>
    <n v="5875.5843205403344"/>
    <n v="0.36634231943812279"/>
    <n v="0.34616146064218856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9.7615768825504166"/>
    <n v="1128.3129520770001"/>
    <n v="0.87403187663050896"/>
    <n v="11700.604878589998"/>
    <n v="9.0637102241189176"/>
    <n v="1094.8534232480001"/>
    <n v="0.84811291973140579"/>
    <n v="11319.435693355999"/>
    <n v="8.7684428360502764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5314261923596733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6597895664344271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87163662592524582"/>
    <n v="216.96868066699986"/>
    <n v="1506.3900391090003"/>
    <n v="0.16807175950992889"/>
    <n v="1.1669040139938884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4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400009"/>
    <n v="6071.281211679001"/>
    <n v="0.3875145320017519"/>
    <n v="0.44238631068969969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7995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6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1.637296728967531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7"/>
    <n v="6198.5433245810009"/>
    <n v="0.40186512763869131"/>
    <n v="0.33797051744987949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02803901194277"/>
    <n v="729.383589583"/>
    <n v="0.51551480209898892"/>
    <n v="11901.659095880999"/>
    <n v="8.41187205345609"/>
    <n v="715.08423881600004"/>
    <n v="0.50540828601325083"/>
    <n v="11545.367836611"/>
    <n v="8.1600519952104946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6092577170247617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610838700518457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0.99841901650630405"/>
    <n v="481.41801940600004"/>
    <n v="1768.9188757849997"/>
    <n v="0.3402573331035027"/>
    <n v="1.250239074751901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1.861199801842037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299989"/>
    <n v="6286.1579230990001"/>
    <n v="0.38852591956898785"/>
    <n v="0.19876255883085103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1465561916429508"/>
    <n v="980.92707740500009"/>
    <n v="0.69330107696978049"/>
    <n v="12132.289320206"/>
    <n v="8.5748772213114872"/>
    <n v="949.96477480500005"/>
    <n v="0.67141749537385575"/>
    <n v="11763.98191427"/>
    <n v="8.3145643733198842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714643610199086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5602693371891967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1543742730098894"/>
    <n v="408.90748344100001"/>
    <n v="2001.5905775190001"/>
    <n v="0.28900823025563155"/>
    <n v="1.4146871210014922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067202735875169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98"/>
    <n v="6420.5430362990001"/>
    <n v="0.38703155338667794"/>
    <n v="0.3045754629299795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9.3605110357871233"/>
    <n v="1145.8879278160002"/>
    <n v="0.80989234851501246"/>
    <n v="12409.446055519"/>
    <n v="8.7707664647711159"/>
    <n v="1094.9880087430001"/>
    <n v="0.77391722913677996"/>
    <n v="12045.128025724"/>
    <n v="8.513273233893468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7066917000880455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6011864967783604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055052033096846"/>
    <n v="31.059786404999585"/>
    <n v="1928.4580898079996"/>
    <n v="2.195248134245029E-2"/>
    <n v="1.3629984341873327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2.225942796166619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24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9.5069715892391624"/>
    <n v="1132.3184307590002"/>
    <n v="0.8003016795037704"/>
    <n v="12610.261274660999"/>
    <n v="8.9126989395799328"/>
    <n v="1117.6906430700003"/>
    <n v="0.78996303028909309"/>
    <n v="12246.029703998"/>
    <n v="8.6552668164142759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7189712069274554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5896414533992043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293297535282512"/>
    <n v="243.30650345699965"/>
    <n v="1962.0801408639993"/>
    <n v="0.17196452699291101"/>
    <n v="1.3867618766939089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2.36514756135478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95"/>
    <n v="6565.1046152560002"/>
    <n v="0.32034398211938564"/>
    <n v="0.192936772467736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9.6911780091613"/>
    <n v="1095.2249276780003"/>
    <n v="0.7740846790487802"/>
    <n v="12854.03357951"/>
    <n v="9.0849926863631492"/>
    <n v="1064.3505605610003"/>
    <n v="0.7522632486223686"/>
    <n v="12490.910638648002"/>
    <n v="8.82834412219254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6739695521934834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6471479091872396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268216430062438"/>
    <n v="377.78613022399946"/>
    <n v="1815.9364251459986"/>
    <n v="0.26701223463159085"/>
    <n v="1.2834702071768462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2.404580456121405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299994"/>
    <n v="6632.7850101650001"/>
    <n v="0.30365536294187567"/>
    <n v="0.13616671815946679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9.7359736661009588"/>
    <n v="1071.1182136010002"/>
    <n v="0.75704650035358012"/>
    <n v="12868.286851330002"/>
    <n v="9.0950666347032154"/>
    <n v="1068.3340630180003"/>
    <n v="0.75507871432534013"/>
    <n v="12517.641222270002"/>
    <n v="8.8472368032491158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6686067900204451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6173116233236577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12951666967874"/>
    <n v="105.11102618100013"/>
    <n v="1838.0858330549984"/>
    <n v="7.4290525087216563E-2"/>
    <n v="1.2991249981508877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2.70466771446792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9.8761602003701636"/>
    <n v="1038.7934876449999"/>
    <n v="0.73419998318195234"/>
    <n v="13016.142702106999"/>
    <n v="9.1995684095458046"/>
    <n v="1021.3209846699999"/>
    <n v="0.72185074192951237"/>
    <n v="12668.213379936002"/>
    <n v="8.9536584134544981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8285075140977569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6223287208121278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2061787932856294"/>
    <n v="501.09780404300039"/>
    <n v="2054.5088701169989"/>
    <n v="0.35416664012300136"/>
    <n v="1.4520887893769354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2.847053992060509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700004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115609811138182"/>
    <n v="1132.601017508"/>
    <n v="0.80050140658025937"/>
    <n v="13210.602481897"/>
    <n v="9.3370089776177672"/>
    <n v="1089.3359629020001"/>
    <n v="0.76992246789620511"/>
    <n v="12851.609835307001"/>
    <n v="9.0832796288842133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31444180922324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6176543248523776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1137898560699475"/>
    <n v="-48.290572933000199"/>
    <n v="1934.8543676379988"/>
    <n v="-3.4130881890330117E-2"/>
    <n v="1.3675192048035012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2.997365553203666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28"/>
    <n v="6787.2844570480011"/>
    <n v="0.22899195431743058"/>
    <n v="0.14673805951649155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210423540560983"/>
    <n v="1079.2306085480002"/>
    <n v="0.76278019074006465"/>
    <n v="13393.498712773"/>
    <n v="9.4662766436460046"/>
    <n v="1052.2697497720003"/>
    <n v="0.74372475547276651"/>
    <n v="13041.585014088001"/>
    <n v="9.2175505640844406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7869420126426836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594610608869699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923314037729846"/>
    <n v="342.37671472199975"/>
    <n v="2038.9010668759988"/>
    <n v="0.24198551606312069"/>
    <n v="1.4410574833345495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254812633616531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86"/>
    <n v="6817.6126034109993"/>
    <n v="0.19071264553325906"/>
    <n v="4.8692823290967135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355728381386111"/>
    <n v="1088.790870669"/>
    <n v="0.76953720680912552"/>
    <n v="13529.659554935"/>
    <n v="9.5625126031647891"/>
    <n v="1081.1256989190001"/>
    <n v="0.76411960548906421"/>
    <n v="13215.518588881001"/>
    <n v="9.3404835909147348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8990842522304208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029113136752977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961729385551231"/>
    <n v="358.53422740100018"/>
    <n v="2148.0500348029982"/>
    <n v="0.25340534654750119"/>
    <n v="1.5182019508051778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373475122260349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97"/>
    <n v="0.17230110018412015"/>
    <n v="0.12064589181145746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439727684431196"/>
    <n v="1188.3937440460002"/>
    <n v="0.83993467158728252"/>
    <n v="13589.740346903998"/>
    <n v="9.6049765933397744"/>
    <n v="1177.4782840560001"/>
    <n v="0.83221982678280659"/>
    <n v="13298.143449689001"/>
    <n v="9.398881311094104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33747437829151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435932462611491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901541915680019"/>
    <n v="185.90890041799935"/>
    <n v="2116.9902545539981"/>
    <n v="0.1313969650211326"/>
    <n v="1.496249473813674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8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97"/>
    <n v="0.13022459133718023"/>
    <n v="-4.0815123584176272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2"/>
    <n v="2268.4817657839999"/>
    <n v="1.6033208660780105"/>
    <n v="13951.151661041999"/>
    <n v="9.8604154114666045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61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7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35"/>
    <n v="-1649.0789701679996"/>
    <n v="1338.1370525969987"/>
    <n v="-1.1655384506769479"/>
    <n v="0.94577046660078057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076947816134354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900004"/>
    <n v="6871.2055036769998"/>
    <n v="0.10851939623112483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0.641732004967292"/>
    <n v="933.327190148"/>
    <n v="0.63394395095363376"/>
    <n v="14155.095261606999"/>
    <n v="9.6145672289320583"/>
    <n v="922.53148226899998"/>
    <n v="0.62661118086143353"/>
    <n v="13874.511181147001"/>
    <n v="9.4239860668068047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4352158111670614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659321568845692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758942423213685"/>
    <n v="566.1792722859999"/>
    <n v="1422.8983054769988"/>
    <n v="0.38456602208719992"/>
    <n v="0.9664754044466236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050762281747252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599999"/>
    <n v="6835.57010464"/>
    <n v="8.740031482857602E-2"/>
    <n v="-6.7438291641282011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0.912397047308376"/>
    <n v="1218.8207889609998"/>
    <n v="0.82785980587990593"/>
    <n v="14392.988973163001"/>
    <n v="9.7761518061336741"/>
    <n v="1187.7022015779999"/>
    <n v="0.80672312365108678"/>
    <n v="14112.248607920003"/>
    <n v="9.5854644906745676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13836523443887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6383259456191543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003928881972282"/>
    <n v="2.9349168440003339"/>
    <n v="1016.9257388799991"/>
    <n v="1.9934839565864419E-3"/>
    <n v="0.69072660427883004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192933806907043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694E-2"/>
    <n v="-4.2796893485774867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159341016564104"/>
    <n v="1456.0652779520001"/>
    <n v="0.98900341155272598"/>
    <n v="14703.166323299001"/>
    <n v="9.9868336087396425"/>
    <n v="1420.6819393300002"/>
    <n v="0.96496998177511073"/>
    <n v="14437.942538507003"/>
    <n v="9.8066856222749443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335927903429356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6493257038244928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8426708651844199"/>
    <n v="-154.90300480100015"/>
    <n v="830.96294767399934"/>
    <n v="-0.10521478846294401"/>
    <n v="0.5644150729831404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31185290875983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432037454272296"/>
    <n v="1426.9606725670001"/>
    <n v="0.96923468658309619"/>
    <n v="14997.808565107003"/>
    <n v="10.186963497658857"/>
    <n v="1411.1746926010001"/>
    <n v="0.95851237332044059"/>
    <n v="14731.426588038003"/>
    <n v="10.006028832100485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8798154544875385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041686402855725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4681420196576"/>
    <n v="-62.677556000000166"/>
    <n v="524.97888821699917"/>
    <n v="-4.2572484661522622E-2"/>
    <n v="0.3565814797603361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531832298087085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599996"/>
    <n v="6847.6969998319992"/>
    <n v="4.304461255945724E-2"/>
    <n v="3.917743655316408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1.722662395923287"/>
    <n v="1452.228420745"/>
    <n v="0.98639730252394608"/>
    <n v="15354.812058174002"/>
    <n v="10.429451027528476"/>
    <n v="1437.605210149"/>
    <n v="0.97646477725444725"/>
    <n v="15104.681237626002"/>
    <n v="10.259554637165811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091699021637975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6638869392066393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4528296295715823"/>
    <n v="316.83164003800033"/>
    <n v="464.02439803100015"/>
    <n v="0.2152015968172529"/>
    <n v="0.31517935331982266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615576522449757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699996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1.907543427000187"/>
    <n v="1332.4878125600001"/>
    <n v="0.9050658733706255"/>
    <n v="15616.181657133002"/>
    <n v="10.606981134839462"/>
    <n v="1321.334541812"/>
    <n v="0.89749023580356657"/>
    <n v="15357.68171642"/>
    <n v="10.4314001858789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080330954495726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6905325297687637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1.7500565680808777E-2"/>
    <n v="-74.648134744000188"/>
    <n v="284.2652371059998"/>
    <n v="-5.0703262446930984E-2"/>
    <n v="0.19308151464136916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755847454266569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212461466287042"/>
    <n v="1447.360132929"/>
    <n v="0.98309061474603499"/>
    <n v="16024.748302417001"/>
    <n v="10.88449191141733"/>
    <n v="1429.4329976270001"/>
    <n v="0.97091396426098064"/>
    <n v="15765.793729377003"/>
    <n v="10.7086021624811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433859879795273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7721658072979456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2877981931841812"/>
    <n v="138.96489314299981"/>
    <n v="-77.867673794000609"/>
    <n v="9.4389142770986062E-2"/>
    <n v="-5.289007038218799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3.87038188385214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3000009"/>
    <n v="6933.8725088230003"/>
    <n v="3.3145067511173965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302275024913884"/>
    <n v="1368.6616794529996"/>
    <n v="0.92963625377043213"/>
    <n v="16260.808964362001"/>
    <n v="11.044831426088935"/>
    <n v="1330.1427052349995"/>
    <n v="0.90347300581173073"/>
    <n v="16006.60047171"/>
    <n v="10.872165357963112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681068589382581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177419716188585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4963511268060001"/>
    <n v="-83.740964520999469"/>
    <n v="-113.31806538199994"/>
    <n v="-5.6879386420417385E-2"/>
    <n v="-7.696904455477807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041610766170882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13"/>
    <n v="6908.8361593449999"/>
    <n v="1.7908738475043373E-2"/>
    <n v="-4.2230137825305936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443837914073177"/>
    <n v="1302.307856936"/>
    <n v="0.8845667381157637"/>
    <n v="16483.88621275"/>
    <n v="11.196352215050979"/>
    <n v="1262.5480593249999"/>
    <n v="0.85756068551952747"/>
    <n v="16216.878781263002"/>
    <n v="11.01499272200545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5977728520977026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307952501123577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3302239801465488"/>
    <n v="379.63380680000006"/>
    <n v="-76.060973303999674"/>
    <n v="0.2578587208631492"/>
    <n v="-5.1662904969124818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3.935124260295877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799996"/>
    <n v="6885.1868356600007"/>
    <n v="9.911714874381694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700011649488626"/>
    <n v="1371.0285802290002"/>
    <n v="0.93124392409793555"/>
    <n v="16766.123922310002"/>
    <n v="11.388056571888798"/>
    <n v="1359.7919376650002"/>
    <n v="0.92361165788125488"/>
    <n v="16495.545020009002"/>
    <n v="11.204271228249347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351126108072501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7897607583666442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5464814755939396"/>
    <n v="-111.40943928300049"/>
    <n v="-546.00463998800012"/>
    <n v="-7.5672648196818043E-2"/>
    <n v="-0.37086280391994314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16014925616075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82"/>
    <n v="6832.3989967910011"/>
    <n v="-8.0655252198051919E-3"/>
    <n v="-8.0791795063108185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261530128045894"/>
    <n v="1500.83906286"/>
    <n v="1.0194151154046462"/>
    <n v="17078.569241124002"/>
    <n v="11.600278847160245"/>
    <n v="1492.518233238"/>
    <n v="1.0137633571986666"/>
    <n v="16810.584969191001"/>
    <n v="11.418255854649226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5448479757017761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1.9953615833876621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408767858174841"/>
    <n v="-826.9893155919998"/>
    <n v="-1558.9028559979993"/>
    <n v="-0.56171606233790305"/>
    <n v="-1.0588537933064663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82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4"/>
    <n v="2562.725447158"/>
    <n v="1.740680344824348"/>
    <n v="17372.812922498"/>
    <n v="11.800138021823093"/>
    <n v="2538.1837833889999"/>
    <n v="1.7240109072927696"/>
    <n v="17113.647784217996"/>
    <n v="11.624105250631013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711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12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38"/>
    <n v="-1645.2241910490002"/>
    <n v="-1555.0480768789998"/>
    <n v="-1.1174858451436642"/>
    <n v="-1.0562355111750257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2.547521163607932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5000002"/>
    <n v="6813.153995312"/>
    <n v="-8.448518725561959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2.194698884594688"/>
    <n v="1365.2778050140003"/>
    <n v="0.82072209036325383"/>
    <n v="17804.763537364004"/>
    <n v="10.703142389880849"/>
    <n v="1345.4971649360002"/>
    <n v="0.80883117101049029"/>
    <n v="17536.613466884999"/>
    <n v="10.541946854755068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5282227901324381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1.8833025058894743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5304802268762301"/>
    <n v="-156.5887597750004"/>
    <n v="-2277.81610894"/>
    <n v="-9.4131651285878651E-2"/>
    <n v="-1.3692846917504524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2.574346866520028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200014"/>
    <n v="6815.0327188280007"/>
    <n v="-3.0044876283338295E-3"/>
    <n v="3.8125032824374294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2.393759182753813"/>
    <n v="1528.4124469919996"/>
    <n v="0.91878872843730608"/>
    <n v="18114.355195394997"/>
    <n v="10.889250090310078"/>
    <n v="1520.7358119729995"/>
    <n v="0.91417400173728125"/>
    <n v="17869.647077279998"/>
    <n v="10.742146433097883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18058768376621348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1.9355208410648823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7549331572986684"/>
    <n v="-393.88629236499963"/>
    <n v="-2674.6373181489998"/>
    <n v="-0.23678051459418489"/>
    <n v="-1.6078295000864706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2.57746506706293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5999993"/>
    <n v="6759.9809878280003"/>
    <n v="-7.4813447772380526E-3"/>
    <n v="-9.9917469211874166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2.38400829366282"/>
    <n v="1409.5465554269997"/>
    <n v="0.84733377425886458"/>
    <n v="18067.836472870003"/>
    <n v="10.861285859842456"/>
    <n v="1346.7757378139997"/>
    <n v="0.80959977136512862"/>
    <n v="17795.740875764001"/>
    <n v="10.69771851375703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1934567734001183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1.9664753820463565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7730186086462381"/>
    <n v="-157.6008197339996"/>
    <n v="-2677.3351330819996"/>
    <n v="-9.4740040261420716E-2"/>
    <n v="-1.6094512625608137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2.754290560756218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30002"/>
    <n v="6843.7848917420006"/>
    <n v="2.6731225714069495E-3"/>
    <n v="0.16114820700271903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2.407002310073675"/>
    <n v="1522.044771783"/>
    <n v="0.91496086886975769"/>
    <n v="18162.920572085997"/>
    <n v="10.918444644949972"/>
    <n v="1508.4703480410001"/>
    <n v="0.90680074981699355"/>
    <n v="17893.036531203998"/>
    <n v="10.756206752138052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4728825068254066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1.9488688897981938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6015806391156531"/>
    <n v="220.29933034999993"/>
    <n v="-2394.3582467319993"/>
    <n v="0.13243057658043658"/>
    <n v="-1.4393427463037316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2.713647362534045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899991"/>
    <n v="6814.6053873750006"/>
    <n v="-4.832517043001471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2.420178156813851"/>
    <n v="1501.8592144679999"/>
    <n v="0.90282653786849731"/>
    <n v="18212.551365808999"/>
    <n v="10.948279663596827"/>
    <n v="1481.3174991179999"/>
    <n v="0.89047810628938273"/>
    <n v="17936.748820172998"/>
    <n v="10.782483925212604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9346920572019791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1.9583036881689393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6648344824487415"/>
    <n v="217.52686714600043"/>
    <n v="-2493.6630196239994"/>
    <n v="0.13076394009965212"/>
    <n v="-1.4990387440645205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2.701835649133974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730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2.41341130657845"/>
    <n v="1397.1452158390002"/>
    <n v="0.83987884214718111"/>
    <n v="18277.208769088"/>
    <n v="10.98714776720308"/>
    <n v="1380.2574423780002"/>
    <n v="0.82972693849387968"/>
    <n v="17995.671720738996"/>
    <n v="10.817904794097451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8842434255552657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1.9577170942312847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6692927516757576"/>
    <n v="-76.329998784000281"/>
    <n v="-2495.344883664"/>
    <n v="-4.5884959038638241E-2"/>
    <n v="-1.50004977857013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2.675673933506637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09991"/>
    <n v="-1.6270586653906238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2.408780211785718"/>
    <n v="1482.4488585570002"/>
    <n v="0.89115821086613523"/>
    <n v="18312.297494715996"/>
    <n v="11.00824097778618"/>
    <n v="1408.3446871020003"/>
    <n v="0.84661128402250951"/>
    <n v="17974.583410214"/>
    <n v="10.80522778269893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668937217209206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1.9101612079439299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643267486223009"/>
    <n v="238.43516790799961"/>
    <n v="-2395.8746088989997"/>
    <n v="0.14333274056232104"/>
    <n v="-1.4402542911357634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2.674744144924013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79"/>
    <n v="6762.2675717479997"/>
    <n v="-2.4748787471451483E-2"/>
    <n v="-3.8379271408263471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2.424022707581649"/>
    <n v="1419.5047356229998"/>
    <n v="0.85332002733985668"/>
    <n v="18363.140550886001"/>
    <n v="11.038804734984206"/>
    <n v="1400.5792860649997"/>
    <n v="0.84194319658404804"/>
    <n v="18045.019991043999"/>
    <n v="10.847569976825678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5072143734236146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8270715826260862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576350145283725"/>
    <n v="7.9830462280002088"/>
    <n v="-2304.1505981500004"/>
    <n v="4.7989225076750094E-3"/>
    <n v="-1.3851153871251995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2.66047134329515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02"/>
    <n v="6820.2184536059995"/>
    <n v="-1.2826719825905109E-2"/>
    <n v="0.10205878074600339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2.545010512496086"/>
    <n v="1442.7174085219999"/>
    <n v="0.86727407636535192"/>
    <n v="18503.550102472"/>
    <n v="11.123210429020554"/>
    <n v="1370.543408881"/>
    <n v="0.8238874515790281"/>
    <n v="18153.015340599999"/>
    <n v="10.912490221417366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0.11546083079906487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8486318303843299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7331709995852651"/>
    <n v="151.17525512300023"/>
    <n v="-2532.6091498269998"/>
    <n v="9.0877381101551427E-2"/>
    <n v="-1.5224507919820782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682781577624358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2941E-3"/>
    <n v="4.0523096891096344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513074502757698"/>
    <n v="1433.4330566240001"/>
    <n v="0.86169288792926191"/>
    <n v="18565.954578866997"/>
    <n v="11.160724209825332"/>
    <n v="1418.8270122660001"/>
    <n v="0.85291262122206735"/>
    <n v="18212.050415201003"/>
    <n v="10.947978522518687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0.16970707486666084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1.916100860663746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746393785797085"/>
    <n v="-130.0362488100001"/>
    <n v="-2551.2359593539995"/>
    <n v="-7.8169894474513238E-2"/>
    <n v="-1.5336480984904344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703073584926756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18"/>
    <n v="6842.8240945980015"/>
    <n v="1.5258326997438232E-3"/>
    <n v="-4.8363303479435071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210319526377104"/>
    <n v="1522.6322605999999"/>
    <n v="0.91531403146288148"/>
    <n v="18587.747776606997"/>
    <n v="11.173824956603157"/>
    <n v="1494.5207621529999"/>
    <n v="0.89841510606913821"/>
    <n v="18214.052944116"/>
    <n v="10.949182321270188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927540585496511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455300433685039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2527759848188524"/>
    <n v="13.938539314000394"/>
    <n v="-1710.3081044480002"/>
    <n v="8.3790032185277405E-3"/>
    <n v="-1.028133349485882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500008"/>
    <n v="6939.8065154300011"/>
    <n v="2.4506300002399728E-2"/>
    <n v="0.17523965177452649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8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913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88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7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1.858036827164364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700003"/>
    <n v="6966.6181709970015"/>
    <n v="2.2524689122042085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1.280177576521702"/>
    <n v="1339.3446989189997"/>
    <n v="0.74336155367554024"/>
    <n v="18817.739718083001"/>
    <n v="10.444200245677074"/>
    <n v="1268.3506476309997"/>
    <n v="0.70395851701905932"/>
    <n v="18350.504783447999"/>
    <n v="10.184876049880359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57785925064266297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4969342924086495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0.91907504176598664"/>
    <n v="347.98640508500011"/>
    <n v="-1188.6998914419974"/>
    <n v="0.19313901413932869"/>
    <n v="-0.65975084596927147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043466849900872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200011"/>
    <n v="7057.8763164370012"/>
    <n v="3.563351896141187E-2"/>
    <n v="0.18448726505109647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1.285777828490765"/>
    <n v="1487.9307577729999"/>
    <n v="0.82582961708997182"/>
    <n v="18777.258028863995"/>
    <n v="10.421732145107041"/>
    <n v="1470.5328903539998"/>
    <n v="0.81617347273395413"/>
    <n v="18300.301861828997"/>
    <n v="10.157012482089426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75768902141010974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4478798985042141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69019087709410432"/>
    <n v="28.224834432999845"/>
    <n v="-766.58876464399805"/>
    <n v="1.5665315130066117E-2"/>
    <n v="-0.4254712140764883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09622748628893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43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1.368121159986631"/>
    <n v="1663.4122368660001"/>
    <n v="0.92322514569820779"/>
    <n v="19031.123710303"/>
    <n v="10.562632383508488"/>
    <n v="1594.3152233410001"/>
    <n v="0.88487500075811842"/>
    <n v="18547.841347355999"/>
    <n v="10.294401562515036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2810632630230177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44475243114305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1664610484075009"/>
    <n v="-198.94008199100008"/>
    <n v="-807.92802690099836"/>
    <n v="-0.11041549539601596"/>
    <n v="-0.44841528384730001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078359668203269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4000003"/>
    <n v="7151.1698788370004"/>
    <n v="4.4914472321580856E-2"/>
    <n v="2.8237955520515889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1.391620298769395"/>
    <n v="1596.4617795519998"/>
    <n v="0.88606637991641024"/>
    <n v="19105.540718071999"/>
    <n v="10.603935225532425"/>
    <n v="1582.2012122729998"/>
    <n v="0.87815149627415745"/>
    <n v="18621.572211588002"/>
    <n v="10.33532358194258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6867393694338750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4613177847921499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77457841535827487"/>
    <n v="116.60647741600023"/>
    <n v="-911.62087983499828"/>
    <n v="6.4718792922054166E-2"/>
    <n v="-0.50596677176843086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2.463971712893301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24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1.446971018958624"/>
    <n v="1625.1924596660006"/>
    <n v="0.90201244893429355"/>
    <n v="19228.873963269998"/>
    <n v="10.67238750136868"/>
    <n v="1597.4637953470005"/>
    <n v="0.88662251756998089"/>
    <n v="18737.718507817"/>
    <n v="10.399786965631733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17000693934673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5139870369708959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49698634303622274"/>
    <n v="724.86272573799965"/>
    <n v="-404.28502124299916"/>
    <n v="0.40231247597499464"/>
    <n v="-0.22438580729927537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2.614426662255173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70012"/>
    <n v="7.1668513646679033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1.755104227573492"/>
    <n v="1847.4694018970004"/>
    <n v="1.0253803416481295"/>
    <n v="19679.198149327996"/>
    <n v="10.922325912948558"/>
    <n v="1822.1290628740003"/>
    <n v="1.0113159758414738"/>
    <n v="19179.590128312997"/>
    <n v="10.64503404399934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593224346816817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5267411589298305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66741872424814874"/>
    <n v="-374.95237565300027"/>
    <n v="-702.90739811199887"/>
    <n v="-0.2081056360955558"/>
    <n v="-0.39012685529893409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2.847298260933634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87"/>
    <n v="7405.1621642849996"/>
    <n v="9.1092742934918869E-2"/>
    <n v="0.18537136358074946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1.947062321999633"/>
    <n v="1722.8222467029998"/>
    <n v="0.95619882099774478"/>
    <n v="19919.571537473996"/>
    <n v="11.055737674251443"/>
    <n v="1651.3194683069999"/>
    <n v="0.91651343120714901"/>
    <n v="19422.564909517998"/>
    <n v="10.779889627484538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9002359389340006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140916035765129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1385566464251216"/>
    <n v="152.16645355199995"/>
    <n v="-789.17611246799879"/>
    <n v="8.4455249959930229E-2"/>
    <n v="-0.43800761787560805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2.864063370897306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04"/>
    <n v="7464.1274752980016"/>
    <n v="0.10379061403637646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127871852363183"/>
    <n v="1696.8950327349996"/>
    <n v="0.94180872853440323"/>
    <n v="20196.961834585996"/>
    <n v="11.209694517775088"/>
    <n v="1642.7552977119997"/>
    <n v="0.91176015509788466"/>
    <n v="19664.740921165001"/>
    <n v="10.914301878808759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3619151853412301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6970535216808076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0.96086200314668502"/>
    <n v="-401.84401923399969"/>
    <n v="-1199.0031779299986"/>
    <n v="-0.22303100517298219"/>
    <n v="-0.66546936418035374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136075943753625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40014"/>
    <n v="9.8426050394775588E-2"/>
    <n v="4.3751159095332559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307579471564074"/>
    <n v="1735.0664279000005"/>
    <n v="0.9629945723569231"/>
    <n v="20489.310853964002"/>
    <n v="11.371953734118541"/>
    <n v="1668.1127769870004"/>
    <n v="0.92583403406748355"/>
    <n v="19962.310289270998"/>
    <n v="11.079458487096423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2849647218955313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7402212532243464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1172478103479326"/>
    <n v="234.48743491999971"/>
    <n v="-1115.6909981329991"/>
    <n v="0.13014494631606774"/>
    <n v="-0.61922953401267633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350156611062477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480116088206819"/>
    <n v="1743.7995186010003"/>
    <n v="0.96784160230905147"/>
    <n v="20799.677315941"/>
    <n v="11.544212970721496"/>
    <n v="1708.4031611030002"/>
    <n v="0.94819595669937007"/>
    <n v="20251.886438107998"/>
    <n v="11.240178708022812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7004052285566025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509322990005836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88089177614492331"/>
    <n v="-53.692858642000132"/>
    <n v="-1039.3476079649993"/>
    <n v="-2.9800548621734781E-2"/>
    <n v="-0.57685751344624081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397508140896718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599999"/>
    <n v="7660.7383992670002"/>
    <n v="0.11952876376212762"/>
    <n v="8.4159375107562662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663792207859245"/>
    <n v="1724.2180372359999"/>
    <n v="0.95697351105330253"/>
    <n v="21001.263092576999"/>
    <n v="11.656096876515107"/>
    <n v="1708.1411307599999"/>
    <n v="0.94805052491990349"/>
    <n v="20465.506806714999"/>
    <n v="11.358742039204554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73371593303747551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556606296955306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0219446966580554"/>
    <n v="-252.23682765700019"/>
    <n v="-1305.5229749359999"/>
    <n v="-0.13999619384959905"/>
    <n v="-0.72458985934750042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899989"/>
    <n v="7721.671839351"/>
    <n v="0.11266385052416017"/>
    <n v="9.3684689690950895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6"/>
    <n v="3020.4916362150007"/>
    <n v="1.676429792399954"/>
    <n v="21203.104234062997"/>
    <n v="11.76812251461393"/>
    <n v="2962.6674120450007"/>
    <n v="1.6443362580366292"/>
    <n v="20676.392078734003"/>
    <n v="11.475787340225164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506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5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67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182888400302126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096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270680452085687"/>
    <n v="1423.0431616420001"/>
    <n v="0.75502087410886076"/>
    <n v="21286.802696785999"/>
    <n v="11.294091994065253"/>
    <n v="1364.7359411360001"/>
    <n v="0.72408494062494488"/>
    <n v="20772.777372239001"/>
    <n v="11.021366710451403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1220794821644147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7561633810179107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4395543280146923"/>
    <n v="276.05239221799997"/>
    <n v="-1076.6393160780012"/>
    <n v="0.14646450936300601"/>
    <n v="-0.57123014918761739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253432751709932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9000007"/>
    <n v="7746.3766880280009"/>
    <n v="9.7550642816956135E-2"/>
    <n v="5.7197946216420714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43013996740606"/>
    <n v="1952.3685503460001"/>
    <n v="1.0358638790435546"/>
    <n v="21751.240489359003"/>
    <n v="11.540507730122791"/>
    <n v="1756.254571034"/>
    <n v="0.93181211724438306"/>
    <n v="21058.499052919004"/>
    <n v="11.172961432884101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2329278430387764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8664657470557611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431729627518835"/>
    <n v="-168.53892899500008"/>
    <n v="-1273.4030795060012"/>
    <n v="-8.9421328123559046E-2"/>
    <n v="-0.6756266655131929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357619210790245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599993"/>
    <n v="7791.3949321910004"/>
    <n v="8.9553296612939981E-2"/>
    <n v="7.6426029139543106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546085563361572"/>
    <n v="1807.1747846880003"/>
    <n v="0.95882874278263586"/>
    <n v="21895.003037181003"/>
    <n v="11.616783508290641"/>
    <n v="1740.9463837030003"/>
    <n v="0.92369008602901403"/>
    <n v="21205.130213281005"/>
    <n v="11.250759204485329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115336474286744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8760560010570633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0645223536283888"/>
    <n v="-242.04745578100017"/>
    <n v="-1316.5104532960013"/>
    <n v="-0.12842258517916397"/>
    <n v="-0.69849804982307462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497063728666115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14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2.685604748654608"/>
    <n v="1799.4852360189998"/>
    <n v="0.95474891589188127"/>
    <n v="22098.026493648002"/>
    <n v="11.72450121615654"/>
    <n v="1783.7417939479999"/>
    <n v="0.94639595252834363"/>
    <n v="21406.670794956004"/>
    <n v="11.357690146740858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1145898001150729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153499805609584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038910005494511"/>
    <n v="43.888378824000483"/>
    <n v="-1389.2285518880012"/>
    <n v="2.3285760429558888E-2"/>
    <n v="-0.73707993113376835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476668176693115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01"/>
    <n v="7771.5284753290007"/>
    <n v="7.6450984923695842E-2"/>
    <n v="-6.7148730352087571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2.844355052029202"/>
    <n v="1769.0529633199999"/>
    <n v="0.93860253203392041"/>
    <n v="22241.886997301997"/>
    <n v="11.800828966534294"/>
    <n v="1736.9735850359998"/>
    <n v="0.9215822469956878"/>
    <n v="21546.180584645001"/>
    <n v="11.431709548398493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231312466391187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021474309879902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2698343063240782"/>
    <n v="416.44793268100034"/>
    <n v="-1697.6433449450003"/>
    <n v="0.22095386185674834"/>
    <n v="-0.90071488818827561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3.687259656726431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95"/>
    <n v="7834.7978404160003"/>
    <n v="7.3438053685450422E-2"/>
    <n v="0.10667758691341911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2.895147576282511"/>
    <n v="1873.8539120079997"/>
    <n v="0.99420654041448808"/>
    <n v="22268.271507412992"/>
    <n v="11.81482773791657"/>
    <n v="1848.3923407849998"/>
    <n v="0.98069745068400349"/>
    <n v="21572.443862556"/>
    <n v="11.445643997879595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79211208044391856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328143783290472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407022978851287"/>
    <n v="-131.44658567499988"/>
    <n v="-1454.1375549669999"/>
    <n v="-6.9741325273963151E-2"/>
    <n v="-0.77151855784814871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598666574342044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299993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074143537561397"/>
    <n v="1996.3576270790008"/>
    <n v="1.0592030665407692"/>
    <n v="22541.806887788996"/>
    <n v="11.959956801853666"/>
    <n v="1856.5904996260008"/>
    <n v="0.98504712975281938"/>
    <n v="21777.714893875003"/>
    <n v="11.55455419658141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52303678064638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135212956181733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3889982588375265"/>
    <n v="-247.5507875870008"/>
    <n v="-1853.8547961060005"/>
    <n v="-0.13134247580699512"/>
    <n v="-0.98359565356527356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776217918880199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90002"/>
    <n v="7832.3879201960008"/>
    <n v="4.9337373472885027E-2"/>
    <n v="-1.8632329514040591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250433098950811"/>
    <n v="2008.6625584350002"/>
    <n v="1.0657316668521866"/>
    <n v="22853.574413488997"/>
    <n v="12.125370610877676"/>
    <n v="1800.5444138030002"/>
    <n v="0.95531088151447707"/>
    <n v="21935.504009966004"/>
    <n v="11.6382720201634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2578481992938786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526997725528776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269149526234899"/>
    <n v="-319.32998055100018"/>
    <n v="-1771.3407574230014"/>
    <n v="-0.16942620402784117"/>
    <n v="-0.93981636190921103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690524054454087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40012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333096878606208"/>
    <n v="1868.3729287650003"/>
    <n v="0.99129850721447577"/>
    <n v="22986.880914354006"/>
    <n v="12.196098747255041"/>
    <n v="1807.5884746320003"/>
    <n v="0.95904823334451628"/>
    <n v="22074.979707610997"/>
    <n v="11.71227333368038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742717584788009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009141562807851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434869804329049"/>
    <n v="-179.87093085599992"/>
    <n v="-2185.699123199001"/>
    <n v="-9.5433723376998153E-2"/>
    <n v="-1.1596615668582504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749145872040785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9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385157666119261"/>
    <n v="1843.2626341630003"/>
    <n v="0.97797579354663655"/>
    <n v="23086.344029916007"/>
    <n v="12.248870673277693"/>
    <n v="1824.5371504540003"/>
    <n v="0.96804065492317637"/>
    <n v="22191.113696962002"/>
    <n v="11.77389028846927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6398820592152986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0747697217969865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107815158754567"/>
    <n v="-197.1986740349999"/>
    <n v="-2329.2049385920009"/>
    <n v="-0.1046272658878568"/>
    <n v="-1.2358011310670451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878599174115269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1000003"/>
    <n v="7762.0721861630009"/>
    <n v="1.322767879734621E-2"/>
    <n v="1.0048158034686727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358344435573999"/>
    <n v="1789.8443172060004"/>
    <n v="0.94963375484433854"/>
    <n v="23151.970309886005"/>
    <n v="12.283689864011365"/>
    <n v="1746.0031729720004"/>
    <n v="0.92637305556709848"/>
    <n v="22228.975739174006"/>
    <n v="11.793978668763708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2025473854127091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79339453199232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590847146579607"/>
    <n v="61.441486145999981"/>
    <n v="-2015.5266247890004"/>
    <n v="3.2598873897101623E-2"/>
    <n v="-1.0693735194103047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398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10009"/>
    <n v="4.8453882628538558E-3"/>
    <n v="-4.197479574910789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7"/>
    <n v="3146.6033785730001"/>
    <n v="1.6694864199500343"/>
    <n v="23278.082052244001"/>
    <n v="12.350600693223782"/>
    <n v="3118.4230057949999"/>
    <n v="1.6545348216703246"/>
    <n v="22384.731332924002"/>
    <n v="11.876617570878789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69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2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86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3.11347505485917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699991"/>
    <n v="7784.5799506220001"/>
    <n v="5.3667115893716311E-3"/>
    <n v="4.2445647790636976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2.586265276244957"/>
    <n v="1861.919277423"/>
    <n v="0.90981875763387099"/>
    <n v="23716.958168025001"/>
    <n v="11.589188466404588"/>
    <n v="1526.0771934630002"/>
    <n v="0.74571098384651169"/>
    <n v="22546.072585251"/>
    <n v="11.017040318432631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2720977861421936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8161056752180826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2888958966038635"/>
    <n v="438.82411098900002"/>
    <n v="-1466.8047224020008"/>
    <n v="0.21442949343775242"/>
    <n v="-0.7167477486319076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3.297231071399448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39996"/>
    <n v="3.3331766496591531E-3"/>
    <n v="-2.1014592517868524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2.678835217529997"/>
    <n v="1963.1081615800001"/>
    <n v="0.95926426581803925"/>
    <n v="23727.697779259001"/>
    <n v="11.594436330728712"/>
    <n v="1921.7870177990001"/>
    <n v="0.93907286861049044"/>
    <n v="22711.605032016003"/>
    <n v="11.097927028662237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183958538694545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7917417690009132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1733459151314585"/>
    <n v="-86.861878403999739"/>
    <n v="-1385.1276718110005"/>
    <n v="-4.2444679129511644E-2"/>
    <n v="-0.67683661306498133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3.31991891173581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87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2.729528246540919"/>
    <n v="1884.4217861590002"/>
    <n v="0.92081451066682152"/>
    <n v="23804.944780730002"/>
    <n v="11.632182742058941"/>
    <n v="1825.1885317400001"/>
    <n v="0.89187043849378156"/>
    <n v="22795.847180053002"/>
    <n v="11.139091587940827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59039066519489913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8201430184706213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2297523532757224"/>
    <n v="-364.47683984800028"/>
    <n v="-1507.5570558780005"/>
    <n v="-0.17810002272267719"/>
    <n v="-0.73666119915761041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3.33104424225788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05"/>
    <n v="7650.2341988619992"/>
    <n v="-2.0911418927277103E-2"/>
    <n v="-0.10454050558117001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2.699558105398353"/>
    <n v="1767.4340287179998"/>
    <n v="0.86364895175996115"/>
    <n v="23772.893573428999"/>
    <n v="11.616521058998423"/>
    <n v="1744.6634297749997"/>
    <n v="0.85252219761325443"/>
    <n v="22756.768815880001"/>
    <n v="11.11999611523513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3148613685953159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8260583904187055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1945722535591741"/>
    <n v="122.91065043099992"/>
    <n v="-1428.5347842710009"/>
    <n v="6.0059754808424001E-2"/>
    <n v="-0.69804730979587892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26135951370120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2999994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2.736192435579976"/>
    <n v="1883.4349994380002"/>
    <n v="0.92033232162703016"/>
    <n v="23887.275609546999"/>
    <n v="11.672413343512792"/>
    <n v="1820.3315003450002"/>
    <n v="0.88949707122530175"/>
    <n v="22840.126731189004"/>
    <n v="11.160728598036615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251670781212265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1.9349218987100174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4097548205887913"/>
    <n v="7.1067979310001448"/>
    <n v="-1837.8759190210012"/>
    <n v="3.472705902313166E-3"/>
    <n v="-0.89807007511261328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234049833439542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12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2.690284882123082"/>
    <n v="1780.2316888409998"/>
    <n v="0.8699024727234711"/>
    <n v="23793.65338638"/>
    <n v="11.626665251314822"/>
    <n v="1768.8164500799999"/>
    <n v="0.86432446594650636"/>
    <n v="22760.550840484004"/>
    <n v="11.121844185110273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376495131645974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0178169817150029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4740520303985434"/>
    <n v="-277.07540467599983"/>
    <n v="-1983.5047380220012"/>
    <n v="-0.13539169152495409"/>
    <n v="-0.96923096419399135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290197286933275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50004"/>
    <n v="-5.090285088070956E-2"/>
    <n v="-0.2054441746075244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2.690279436443873"/>
    <n v="2108.8230356839999"/>
    <n v="1.030467205351254"/>
    <n v="23906.118794984999"/>
    <n v="11.681620984130161"/>
    <n v="1785.7250047289999"/>
    <n v="0.87258675764232541"/>
    <n v="22689.685345587004"/>
    <n v="11.087216069214973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59991785048939861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07734876617436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4774309156849665"/>
    <n v="-71.134680684000102"/>
    <n v="-1807.0886311190006"/>
    <n v="-3.4759652359459277E-2"/>
    <n v="-0.88302600076977555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3.594949219913238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9000009"/>
    <n v="7475.0060340459995"/>
    <n v="-4.5628726486909965E-2"/>
    <n v="4.4182378545949641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601816564663212"/>
    <n v="1824.31800518"/>
    <n v="0.89144505947606023"/>
    <n v="23721.77424173"/>
    <n v="11.591541819875969"/>
    <n v="1759.847647025"/>
    <n v="0.85994189933800302"/>
    <n v="22648.988578809003"/>
    <n v="11.067329771114593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0.99313265525002647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129963012091296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368303568412701"/>
    <n v="234.05198872400024"/>
    <n v="-1253.7066618440001"/>
    <n v="0.11436848642403781"/>
    <n v="-0.61261830807989326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3.808600288191908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699991"/>
    <n v="7533.7670214250002"/>
    <n v="-3.9719307233024637E-2"/>
    <n v="8.8211185703400252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654505344330195"/>
    <n v="1896.9391560449999"/>
    <n v="0.92693106902497246"/>
    <n v="23750.34046901"/>
    <n v="11.605500582605011"/>
    <n v="1848.9302885"/>
    <n v="0.90347174468430846"/>
    <n v="22690.330392677002"/>
    <n v="11.08753126867026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540949438617105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209799371908762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0.96688499332916544"/>
    <n v="155.14203470099994"/>
    <n v="-918.69369628700031"/>
    <n v="7.5809480561271E-2"/>
    <n v="-0.44891567939441668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3.802889784046702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699987"/>
    <n v="7529.0441545229996"/>
    <n v="-2.9207032923778242E-2"/>
    <n v="-6.9032810984579474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741789210778052"/>
    <n v="1908.1621234470001"/>
    <n v="0.93241512323852871"/>
    <n v="23815.239958294002"/>
    <n v="11.637213435803012"/>
    <n v="1773.6505434750002"/>
    <n v="0.86668662466104129"/>
    <n v="22639.443785697997"/>
    <n v="11.06266574947014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11005732686509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1897105347285324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286099614598812"/>
    <n v="-412.37831493300001"/>
    <n v="-1133.8733371850005"/>
    <n v="-0.20150687020479988"/>
    <n v="-0.55406227512701145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010521202839746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04"/>
    <n v="7613.2615661529999"/>
    <n v="-1.9171506840051977E-2"/>
    <n v="0.12867425099450935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779488215674984"/>
    <n v="1875.2034937520002"/>
    <n v="0.91631003217146467"/>
    <n v="23900.599134840002"/>
    <n v="11.678923826204695"/>
    <n v="1854.0028480420003"/>
    <n v="0.90595042884451227"/>
    <n v="22747.443460768001"/>
    <n v="11.115439321014579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310329871647641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054387834984026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0.97440579633363855"/>
    <n v="354.37560652099961"/>
    <n v="-840.93921681000097"/>
    <n v="0.17316409898657328"/>
    <n v="-0.41092129114352355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500004"/>
    <n v="7704.8435158810007"/>
    <n v="-6.9908774320740497E-3"/>
    <n v="0.1292877735459772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5"/>
    <n v="3264.8600809999998"/>
    <n v="1.5953596800689882"/>
    <n v="24018.855837266998"/>
    <n v="11.736709449560461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14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2.993847984507049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699986"/>
    <n v="7735.0819160110004"/>
    <n v="-6.3584721237328612E-3"/>
    <n v="4.8295555234038723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0509413689508"/>
    <n v="1917.4748687420008"/>
    <n v="0.87507071084656829"/>
    <n v="24074.411428585998"/>
    <n v="10.986747552966269"/>
    <n v="1599.5485820750009"/>
    <n v="0.72997990094561482"/>
    <n v="22940.883726130996"/>
    <n v="10.469443827884154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0.94290661555625088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2111694114391955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2682627958829449"/>
    <n v="-143.1901597030008"/>
    <n v="-1645.5186168000007"/>
    <n v="-6.5347148419079515E-2"/>
    <n v="-0.7509590708008311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2.945242672071647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700004"/>
    <n v="7782.5856151360003"/>
    <n v="1.3366729604260552E-3"/>
    <n v="8.2345253587473577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1.941208362609125"/>
    <n v="1948.5753501959998"/>
    <n v="0.88926391924646575"/>
    <n v="24059.878617201997"/>
    <n v="10.980115269124791"/>
    <n v="1911.5777381089997"/>
    <n v="0.87237945977512099"/>
    <n v="22930.674446441"/>
    <n v="10.464784657753066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0403430946252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2258666797215936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218323702590705"/>
    <n v="10.55399584399985"/>
    <n v="-1548.102742552001"/>
    <n v="4.8164869308247116E-3"/>
    <n v="-0.70650175888734335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091136235828785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14"/>
    <n v="7953.0548457060013"/>
    <n v="3.0762219263298141E-2"/>
    <n v="0.29515028067416527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1.925848347276753"/>
    <n v="1907.265917515"/>
    <n v="0.87041169061488688"/>
    <n v="24082.722748558001"/>
    <n v="10.990540558441614"/>
    <n v="1860.6524064"/>
    <n v="0.84913885988766136"/>
    <n v="22966.138321101"/>
    <n v="10.48096917130993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1652878885520319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3081783227066865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428904341546546"/>
    <n v="-204.11721509200004"/>
    <n v="-1387.7431177960007"/>
    <n v="-9.3152196890989108E-2"/>
    <n v="-0.63331904702297037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140319727091629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700009"/>
    <n v="8060.286451213"/>
    <n v="5.3599960692967796E-2"/>
    <n v="0.19121810621835245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08488322413203"/>
    <n v="1965.4245409779999"/>
    <n v="0.89695332034118136"/>
    <n v="24280.713260818"/>
    <n v="11.080896735270102"/>
    <n v="1851.67314898"/>
    <n v="0.84504103034033151"/>
    <n v="23073.148040306001"/>
    <n v="10.529804789746819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0554365029595998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3569303541430497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014938511834504"/>
    <n v="-133.64397562900012"/>
    <n v="-1644.2977438560006"/>
    <n v="-6.099059271152623E-2"/>
    <n v="-0.75040190566016851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323555975496138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705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163563290735393"/>
    <n v="1952.5895178039998"/>
    <n v="0.89109584964589483"/>
    <n v="24349.867779184002"/>
    <n v="11.112456519719581"/>
    <n v="1899.7110414789997"/>
    <n v="0.86696390058073747"/>
    <n v="23152.527581440001"/>
    <n v="10.566030928936001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159992684760744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355268473492901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1952757887321568"/>
    <n v="229.62921240700007"/>
    <n v="-1421.7753293800006"/>
    <n v="0.10479501004566658"/>
    <n v="-0.64885019794857801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432664427541246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"/>
    <n v="8346.7296621629994"/>
    <n v="0.10006251290847246"/>
    <n v="0.16951169308166381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24580474998702"/>
    <n v="2093.157476117"/>
    <n v="0.9552463139927414"/>
    <n v="24662.793566460005"/>
    <n v="11.255265270737782"/>
    <n v="2075.3472489999999"/>
    <n v="0.94711832840206867"/>
    <n v="23459.058380359998"/>
    <n v="10.705921223447799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1868596775542271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3218870057029819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350273281487551"/>
    <n v="-138.66261750999973"/>
    <n v="-1283.3625422140005"/>
    <n v="-6.3280931213418531E-2"/>
    <n v="-0.585683280858775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3.628314024413207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500007"/>
    <n v="8533.616548162001"/>
    <n v="0.14611893149501065"/>
    <n v="0.34068036485890385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241274061727147"/>
    <n v="2009.6854381109999"/>
    <n v="0.91715249757592221"/>
    <n v="24563.655968887004"/>
    <n v="11.210022222500731"/>
    <n v="1859.64172644"/>
    <n v="0.84867761971943123"/>
    <n v="23532.975102070999"/>
    <n v="10.739654316520111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3870399626860634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2681855764516432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8811456137655802"/>
    <n v="312.12239398999975"/>
    <n v="-900.10546754000109"/>
    <n v="0.14244210948076405"/>
    <n v="-0.41077770778496275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3.694789689208426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7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405516901102105"/>
    <n v="2165.7133899710002"/>
    <n v="0.98835838036052515"/>
    <n v="24905.051353678002"/>
    <n v="11.36582353542474"/>
    <n v="1967.9445006140002"/>
    <n v="0.89810334473311837"/>
    <n v="23741.071955660002"/>
    <n v="10.834622685891508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28927278810632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258063232327326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365335351264129"/>
    <n v="26.860968141999791"/>
    <n v="-1107.2964881220009"/>
    <n v="1.2258437838858294E-2"/>
    <n v="-0.50533268559318123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3.769967938836377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2"/>
    <n v="0.17381779783910956"/>
    <n v="0.16103812435908127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400085838725921"/>
    <n v="1984.7110027509996"/>
    <n v="0.90575500952550259"/>
    <n v="24992.823200383998"/>
    <n v="11.405879639179425"/>
    <n v="1867.5322170179995"/>
    <n v="0.85227857288527298"/>
    <n v="23759.673884178002"/>
    <n v="10.84311197723854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698821001104577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35596078237740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0.98607868226694639"/>
    <n v="334.86977543400059"/>
    <n v="-927.56874738900069"/>
    <n v="0.15282324540832867"/>
    <n v="-0.42331102032605966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3.927874889564951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45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538477992888913"/>
    <n v="2112.1760465939997"/>
    <n v="0.96392574664549491"/>
    <n v="25196.837123530997"/>
    <n v="11.498984697118447"/>
    <n v="1987.7404285689997"/>
    <n v="0.90713753706066313"/>
    <n v="23973.763769272002"/>
    <n v="10.940815363597487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893968966760384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13006556520725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2360965984468746"/>
    <n v="-285.57073240199946"/>
    <n v="-800.76116485800026"/>
    <n v="-0.13032482869720288"/>
    <n v="-0.36544032632372386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3.963422023971054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85"/>
    <n v="0.16127114459215086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672260683415923"/>
    <n v="2070.5820255680001"/>
    <n v="0.9449436415136202"/>
    <n v="25392.215655346994"/>
    <n v="11.588148854368942"/>
    <n v="1998.6635632590001"/>
    <n v="0.91212248648225436"/>
    <n v="24118.424484489002"/>
    <n v="11.006833623841786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911613405551301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604219617156192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0692606211604896"/>
    <n v="85.939719917000389"/>
    <n v="-1069.1970514619993"/>
    <n v="3.9219983022287651E-2"/>
    <n v="-0.48794539063332887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383"/>
    <n v="9.440657481060355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4"/>
    <n v="3436.1847832790008"/>
    <n v="1.5681585766372304"/>
    <n v="24316.217385222"/>
    <n v="11.097099617449507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4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3.598616414747969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93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046869335890309"/>
    <n v="1851.8457540070001"/>
    <n v="0.80313732533477467"/>
    <n v="25526.955237042002"/>
    <n v="11.070927753381847"/>
    <n v="1701.0054946540001"/>
    <n v="0.73771857099876192"/>
    <n v="24417.674297801001"/>
    <n v="10.589837508873559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5517470788576613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2263169037712185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67456982491355699"/>
    <n v="522.31840819399986"/>
    <n v="-446.11840112299979"/>
    <n v="0.22652718695515089"/>
    <n v="-0.19347958040526833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3.523972140656268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39999"/>
    <n v="9552.3626456500006"/>
    <n v="0.22740219228324854"/>
    <n v="0.22632219649249863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350664604558549"/>
    <n v="2406.991061963"/>
    <n v="1.0439013937455426"/>
    <n v="25985.370948809003"/>
    <n v="11.269740623105658"/>
    <n v="2217.439721794"/>
    <n v="0.96169381461669401"/>
    <n v="24723.536281485998"/>
    <n v="10.72248850044066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1733075360977214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1780111806823168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047036445845952"/>
    <n v="-598.10320840999998"/>
    <n v="-1054.7756053769997"/>
    <n v="-0.25939472012566922"/>
    <n v="-0.45745152191959992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3.517945889760933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392"/>
    <n v="0.10752654304509668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2.516094440136182"/>
    <n v="2225.0968687529999"/>
    <n v="0.9650146854370848"/>
    <n v="26303.201900047003"/>
    <n v="11.407582503042777"/>
    <n v="2112.8701902719999"/>
    <n v="0.91634247059877749"/>
    <n v="24975.754065357996"/>
    <n v="10.831874239454027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018514496247499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1044911965253235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026397469005733"/>
    <n v="-364.321662618"/>
    <n v="-1214.9800529029994"/>
    <n v="-0.1580046961489173"/>
    <n v="-0.52693148331182738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3.963992573338174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900019"/>
    <n v="9807.6181054119988"/>
    <n v="0.21678282338663557"/>
    <n v="0.26170386064094386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2.721420051166369"/>
    <n v="2303.3764955749998"/>
    <n v="0.99896421388889545"/>
    <n v="26641.153854644002"/>
    <n v="11.5541507732777"/>
    <n v="2158.5805886329999"/>
    <n v="0.93616686850027886"/>
    <n v="25282.661505010998"/>
    <n v="10.96497864065747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425725221718082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1963028080728049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5373028590099629"/>
    <n v="240.75072910800009"/>
    <n v="-840.58534816599922"/>
    <n v="0.1044125280033799"/>
    <n v="-0.36455815328077751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3.982929561692334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400004"/>
    <n v="9881.6608994939998"/>
    <n v="0.19882759325148069"/>
    <n v="9.902847676744031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2.764085564200595"/>
    <n v="2105.1626519730003"/>
    <n v="0.91299974527676853"/>
    <n v="26793.726988813003"/>
    <n v="11.620321067768637"/>
    <n v="2032.8407850120002"/>
    <n v="0.88163407096583157"/>
    <n v="25415.791248543996"/>
    <n v="11.02271642249608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188439974917391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1947991549842345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0.97595515749249517"/>
    <n v="197.82727700499993"/>
    <n v="-872.38728356799936"/>
    <n v="8.5796816386175437E-2"/>
    <n v="-0.37835051221994165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05150591980861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22"/>
    <n v="0.14007714350326594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2.862886483692149"/>
    <n v="2180.9662362340005"/>
    <n v="0.94587542500464872"/>
    <n v="26881.53574893"/>
    <n v="11.658403339247638"/>
    <n v="2165.9382876770005"/>
    <n v="0.9393578700823656"/>
    <n v="25506.382287220997"/>
    <n v="11.06200535589937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1886194361164606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170868199532663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284673838368055"/>
    <n v="-262.52573781600029"/>
    <n v="-996.25040387400009"/>
    <n v="-0.11385625311657775"/>
    <n v="-0.43206940048854026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163963529244624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19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2.939336460786027"/>
    <n v="2237.5986263039999"/>
    <n v="0.97043664247630812"/>
    <n v="27109.448937123005"/>
    <n v="11.757248282449725"/>
    <n v="2089.2335637239999"/>
    <n v="0.90609137004970552"/>
    <n v="25735.974124504995"/>
    <n v="11.16157832179892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24627068458599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000041572725225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0753770888139234"/>
    <n v="202.28099957099991"/>
    <n v="-1106.091798293"/>
    <n v="8.7728376194383326E-2"/>
    <n v="-0.47970712816312294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084474886515871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93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2.971746942350256"/>
    <n v="2242.8184930430002"/>
    <n v="0.97270047562887685"/>
    <n v="27186.554040195002"/>
    <n v="11.790688425138129"/>
    <n v="2048.0714517840001"/>
    <n v="0.88823954388270987"/>
    <n v="25816.101075675"/>
    <n v="11.196329026662251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127279441656153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001923600212034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0874644158555884"/>
    <n v="-4.0314128690001212"/>
    <n v="-1136.984179304"/>
    <n v="-1.7484059576360963E-3"/>
    <n v="-0.49310501737971235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19641484249734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56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151562097637814"/>
    <n v="2379.0175271809994"/>
    <n v="1.0317693952481719"/>
    <n v="27580.860564625003"/>
    <n v="11.961697423434844"/>
    <n v="2167.3287779679995"/>
    <n v="0.93996091958084593"/>
    <n v="26115.897636624999"/>
    <n v="11.32634947117549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48527448595268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132771294987327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0684243846392065"/>
    <n v="473.28157220200069"/>
    <n v="-998.57238253599985"/>
    <n v="0.20526012774340113"/>
    <n v="-0.43307643237985616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281070992777048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204334184443422"/>
    <n v="2339.4195537379996"/>
    <n v="1.0145959290397288"/>
    <n v="27808.104071769001"/>
    <n v="12.060251928923444"/>
    <n v="2189.0495081659997"/>
    <n v="0.94938110434396317"/>
    <n v="26317.206716222001"/>
    <n v="11.413656329969374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67368083336224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491573681948196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0.97242055986119724"/>
    <n v="-38.274067444999758"/>
    <n v="-751.27571757900012"/>
    <n v="-1.6599294023784919E-2"/>
    <n v="-0.3258249609071279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04272707060956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6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07842839327627"/>
    <n v="2328.8747561380001"/>
    <n v="1.0100226968888677"/>
    <n v="28066.396802339001"/>
    <n v="12.172272345491367"/>
    <n v="2208.705763812"/>
    <n v="0.95790593561107396"/>
    <n v="26527.248916774999"/>
    <n v="11.504750704754397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964298677333288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197160419573197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232861742239904"/>
    <n v="247.48258556299984"/>
    <n v="-589.73285193300103"/>
    <n v="0.10733210441848218"/>
    <n v="-0.2557645334870199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61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5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58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52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3.890224382884433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199999"/>
    <n v="10210.80039685"/>
    <n v="8.4979962736596582E-2"/>
    <n v="-0.10552632661524897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18581776153535"/>
    <n v="2142.653434115"/>
    <n v="0.90528979270615084"/>
    <n v="28651.078264146996"/>
    <n v="12.105330843329106"/>
    <n v="2006.935027812"/>
    <n v="0.84794758049757701"/>
    <n v="27116.718456097999"/>
    <n v="11.457050421283601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0440662134908416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1.9726519026980742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2682452813489897"/>
    <n v="522.73796885099955"/>
    <n v="-1467.3421102499997"/>
    <n v="0.22086135813009725"/>
    <n v="-0.61996485930348189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156485584776471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79"/>
    <n v="10201.086668876"/>
    <n v="6.7912415733234033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167929178878577"/>
    <n v="2366.8004955629995"/>
    <n v="0.99999388416729063"/>
    <n v="28610.887697746995"/>
    <n v="12.0883499779471"/>
    <n v="2164.4915782679996"/>
    <n v="0.91451659937426788"/>
    <n v="27063.770312572"/>
    <n v="11.434679368124169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0.98855640589789651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010515094521883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124951035542913"/>
    <n v="19.967718256000211"/>
    <n v="-849.27118358399969"/>
    <n v="8.4365353878405394E-3"/>
    <n v="-0.35882449373135616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25234029202583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499999"/>
    <n v="10113.803409854001"/>
    <n v="4.9934300496608186E-2"/>
    <n v="-0.10535468332677489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340376439562943"/>
    <n v="2458.603546585"/>
    <n v="1.0387814751543634"/>
    <n v="28844.394375578999"/>
    <n v="12.187008589089853"/>
    <n v="2255.9264169480002"/>
    <n v="0.9531486174303877"/>
    <n v="27206.826539248003"/>
    <n v="11.495121873538643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119638524628992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149047645200496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029409120571501"/>
    <n v="-724.62120211599949"/>
    <n v="-1209.5707230819989"/>
    <n v="-0.30615878770195309"/>
    <n v="-0.51105419650593875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143632020504318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9152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346258875241226"/>
    <n v="2464.1303321540004"/>
    <n v="1.0411165903355817"/>
    <n v="29005.148212157997"/>
    <n v="12.254928489282872"/>
    <n v="2296.3832145240003"/>
    <n v="0.9702419678098716"/>
    <n v="27344.629165139002"/>
    <n v="11.55334468672950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79737314526308978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324379305575668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350647852944772"/>
    <n v="187.67067570399996"/>
    <n v="-1262.6507764859991"/>
    <n v="7.9292499850901574E-2"/>
    <n v="-0.53348098274110356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199026244370222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2007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573688227692408"/>
    <n v="2561.7854882249994"/>
    <n v="1.082376746825946"/>
    <n v="29461.771048409995"/>
    <n v="12.447855626352151"/>
    <n v="2390.2828228869994"/>
    <n v="1.0099153725876437"/>
    <n v="27702.071203014002"/>
    <n v="11.704367070107137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2533801667781508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399503080648111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146122913869961"/>
    <n v="-127.94764997299956"/>
    <n v="-1588.4257034639986"/>
    <n v="-5.4058999778999785E-2"/>
    <n v="-0.6711237351419780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154207721275542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79999"/>
    <n v="-1.1669704521115709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55953397478585"/>
    <n v="2255.094119421"/>
    <n v="0.95279696445483375"/>
    <n v="29535.898931596996"/>
    <n v="12.479175304530449"/>
    <n v="2231.1421671550002"/>
    <n v="0.94267705539415503"/>
    <n v="27767.275082492"/>
    <n v="11.73191627876423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5946737464896920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0754291191399536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4807553726502616"/>
    <n v="-410.15016904300018"/>
    <n v="-1736.0501346909989"/>
    <n v="-0.17329202921922549"/>
    <n v="-0.73349634688404197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200223383063438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599997"/>
    <n v="9912.4930269390006"/>
    <n v="-1.450627451361608E-2"/>
    <n v="5.7717683579770585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658975205970728"/>
    <n v="2424.9956423369995"/>
    <n v="1.0245818420333275"/>
    <n v="29723.295947629998"/>
    <n v="12.558352180779844"/>
    <n v="2283.4508751039994"/>
    <n v="0.96477794143662188"/>
    <n v="27961.492393872002"/>
    <n v="11.8139747893752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124817709271145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0908957357705749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496475586778635"/>
    <n v="32.405646976000753"/>
    <n v="-1905.9254872859976"/>
    <n v="1.3691668921497589E-2"/>
    <n v="-0.80527016727330647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191256837518242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27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807706067020106"/>
    <n v="2608.5719797140009"/>
    <n v="1.1021444481756608"/>
    <n v="30089.049434300996"/>
    <n v="12.712886223877067"/>
    <n v="2312.2812344530012"/>
    <n v="0.9769590201043824"/>
    <n v="28225.702176541003"/>
    <n v="11.925605730513539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55077049813785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785519037840021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8950011332858647"/>
    <n v="-719.87571940200132"/>
    <n v="-2621.7697938189995"/>
    <n v="-0.30415377980191421"/>
    <n v="-1.1077206399223321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161186833433497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09989"/>
    <n v="-4.2707001100126485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3.903782601935994"/>
    <n v="2589.2221217310002"/>
    <n v="1.0939689641503783"/>
    <n v="30299.254028850995"/>
    <n v="12.801699501281702"/>
    <n v="2323.5340129150004"/>
    <n v="0.98171341730135098"/>
    <n v="28381.907411488006"/>
    <n v="11.991603806783486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740423149750874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558874032946738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1984831717971649"/>
    <n v="-191.00490025400035"/>
    <n v="-3286.0562662750003"/>
    <n v="-8.070123884884052E-2"/>
    <n v="-1.3883874772989435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04928979284231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299991"/>
    <n v="9640.2833074479986"/>
    <n v="-6.4331738097807234E-2"/>
    <n v="-0.10449448135689232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27147189903257"/>
    <n v="2434.9745419989995"/>
    <n v="1.0287980143095401"/>
    <n v="30394.809017111995"/>
    <n v="12.842072318526675"/>
    <n v="2226.7873589029996"/>
    <n v="0.94083711086698185"/>
    <n v="28419.645262225"/>
    <n v="12.007548378372581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778178938097214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213573481038748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43575558722903"/>
    <n v="-323.86376341799939"/>
    <n v="-3571.6459622479997"/>
    <n v="-0.13683526910212326"/>
    <n v="-1.50905161856880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198420865424763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200006"/>
    <n v="9561.2646888239979"/>
    <n v="-7.6802366757488749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3.98116541650387"/>
    <n v="2505.6175711190003"/>
    <n v="1.0586453112031671"/>
    <n v="30571.551832092999"/>
    <n v="12.916747701763603"/>
    <n v="2385.4100334820005"/>
    <n v="1.0078565764985907"/>
    <n v="28596.349531894997"/>
    <n v="12.082207475878901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172554489208914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480381238673944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307826749465026"/>
    <n v="-432.24497146900057"/>
    <n v="-4251.3735192799995"/>
    <n v="-0.18262727624968092"/>
    <n v="-1.796242449061803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3999"/>
    <n v="-6.4639899934746503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3"/>
    <n v="3991.9459137490003"/>
    <n v="1.6866320195382731"/>
    <n v="30804.395186712001"/>
    <n v="13.015126053054512"/>
    <n v="3966.2057020900002"/>
    <n v="1.6757565552630094"/>
    <n v="28842.830444540996"/>
    <n v="12.186347814564838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59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82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22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3.927788669328656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100019"/>
    <n v="9735.7220169429984"/>
    <n v="-4.6527046014293028E-2"/>
    <n v="0.13186962799881652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3.959081156338293"/>
    <n v="2265.9420227350001"/>
    <n v="0.94447807941082396"/>
    <n v="30927.683775332"/>
    <n v="12.891115076939908"/>
    <n v="2130.5899068600002"/>
    <n v="0.88806131977479785"/>
    <n v="28966.485323588997"/>
    <n v="12.073658615803284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129248700963968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310159955268529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2.9623084825364927"/>
    <n v="66.053926393999973"/>
    <n v="-5145.8159101690007"/>
    <n v="2.7532251448714611E-2"/>
    <n v="-2.1448520213998719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3.98999025665482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499996"/>
    <n v="9764.2363459680018"/>
    <n v="-4.2823900736070453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3.99061706475225"/>
    <n v="2606.7574671979996"/>
    <n v="1.0865349869531602"/>
    <n v="31167.640746966998"/>
    <n v="12.99113268437962"/>
    <n v="2288.9521900539999"/>
    <n v="0.95406905676960885"/>
    <n v="29090.945935374999"/>
    <n v="12.125535635781075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6.2680809742706692E-4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2.9842337657691944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2.9848605738666216"/>
    <n v="81.3582893530006"/>
    <n v="-5084.4253390720005"/>
    <n v="3.3911335815876076E-2"/>
    <n v="-2.1192635252680758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096485404892947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06"/>
    <n v="9717.2444491120004"/>
    <n v="-3.9209676584738506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155283444229358"/>
    <n v="3083.4023201700002"/>
    <n v="1.2852075967460093"/>
    <n v="31792.439520552005"/>
    <n v="13.251558034972458"/>
    <n v="2751.6561878990001"/>
    <n v="1.1469309123844664"/>
    <n v="29586.675706325997"/>
    <n v="12.332163121072796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79803933641129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199544779283218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583428186196297"/>
    <n v="-1251.6763852802692"/>
    <n v="-5611.4805222362684"/>
    <n v="-0.5217171915927904"/>
    <n v="-2.3389479047199697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484797552692115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500009"/>
    <n v="9327.2963786439996"/>
    <n v="-7.1062779055230507E-2"/>
    <n v="-0.50652024751443703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443088080290936"/>
    <n v="3242.6437725160004"/>
    <n v="1.3515817844195346"/>
    <n v="32570.952960914001"/>
    <n v="13.576053927440668"/>
    <n v="3074.1749330420002"/>
    <n v="1.2813614855987723"/>
    <n v="30364.467424843999"/>
    <n v="12.65635818922412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829052759881617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2919249786804481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502155062792646"/>
    <n v="-2191.2562710300008"/>
    <n v="-7990.4074689702702"/>
    <n v="-0.91334795577043604"/>
    <n v="-3.3305197680627203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056488139812201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499994"/>
    <n v="9063.5700562490001"/>
    <n v="-9.5590312324492666E-2"/>
    <n v="-0.32865518627446844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36740176343079"/>
    <n v="2644.7102080870004"/>
    <n v="1.1023542495219147"/>
    <n v="32653.877680775997"/>
    <n v="13.610618174612535"/>
    <n v="2478.6199432500002"/>
    <n v="1.0331253757165983"/>
    <n v="30452.804545206996"/>
    <n v="12.693178404809524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0913623618589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136904535350111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246040771536006"/>
    <n v="-1031.5733749220001"/>
    <n v="-8894.0331939192693"/>
    <n v="-0.42997500824919199"/>
    <n v="-3.707164307350588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128591961985913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80001"/>
    <n v="9095.229458587999"/>
    <n v="-7.8090453329889731E-2"/>
    <n v="4.7836568891541864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537941211818604"/>
    <n v="2717.4860286969993"/>
    <n v="1.1326882856921408"/>
    <n v="33116.269590051998"/>
    <n v="13.80334994710554"/>
    <n v="2690.898075697999"/>
    <n v="1.1216060344553458"/>
    <n v="30912.560453749997"/>
    <n v="12.884811453290771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093492498326894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3880850450356568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7974342948683466"/>
    <n v="-822.15931641399925"/>
    <n v="-9306.042341290271"/>
    <n v="-0.34268813780114193"/>
    <n v="-3.8788958010535781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19227961326935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77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7167407228677"/>
    <n v="2689.2226888519999"/>
    <n v="1.1209077084899401"/>
    <n v="33380.496636566997"/>
    <n v="13.913483679971161"/>
    <n v="2551.0099940720002"/>
    <n v="1.0632986173453893"/>
    <n v="31180.119572717998"/>
    <n v="12.996334043134766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697512761540762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698949160249968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674076775657589"/>
    <n v="-858.54706318459807"/>
    <n v="-10196.995051450869"/>
    <n v="-0.35785508772270297"/>
    <n v="-4.2502580407293644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182887974586698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97"/>
    <n v="8971.0930286703006"/>
    <n v="-8.394887888082192E-2"/>
    <n v="-2.6560649550672166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88797137456026"/>
    <n v="3095.7474113339995"/>
    <n v="1.2903532129514284"/>
    <n v="33867.672068186999"/>
    <n v="14.116545590371333"/>
    <n v="2861.2154317419995"/>
    <n v="1.1925968222657977"/>
    <n v="31729.053770006998"/>
    <n v="13.22513791859873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5083399973558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513259658645684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564093658381273"/>
    <n v="-515.33318652399942"/>
    <n v="-9992.4525185728671"/>
    <n v="-0.21479847824057435"/>
    <n v="-4.1650016940655314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287816428012086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15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278413553060787"/>
    <n v="3552.7362978719998"/>
    <n v="1.4808329258209303"/>
    <n v="34831.186244327997"/>
    <n v="14.518152520043945"/>
    <n v="3102.0097727499997"/>
    <n v="1.2929634576193927"/>
    <n v="32507.529529841999"/>
    <n v="13.549618105267147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05971250487036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354758758475072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260730008962112"/>
    <n v="-652.92926265300014"/>
    <n v="-10454.376880971868"/>
    <n v="-0.27215055363036128"/>
    <n v="-4.3575385861194107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32516444667983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3014"/>
    <n v="-8.5629175065418561E-2"/>
    <n v="-0.11105146085803286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32462831556196"/>
    <n v="2870.4313078030004"/>
    <n v="1.196438135430411"/>
    <n v="35266.643010132"/>
    <n v="14.699657327186626"/>
    <n v="2524.5920346870003"/>
    <n v="1.0522872219559425"/>
    <n v="32805.334205625993"/>
    <n v="13.673747489603528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199946386888213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110293547760898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109757416643026"/>
    <n v="-629.82058244400014"/>
    <n v="-10760.333699997867"/>
    <n v="-0.26251851464501624"/>
    <n v="-4.485065904081206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29854306609967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05"/>
    <n v="8769.5128855272997"/>
    <n v="-8.2808271610989248E-2"/>
    <n v="-5.4396950386489062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588814345321511"/>
    <n v="2916.8834176310002"/>
    <n v="1.2158000604199899"/>
    <n v="35677.908856643997"/>
    <n v="14.87107900212078"/>
    <n v="2729.9006082830001"/>
    <n v="1.1378628656974696"/>
    <n v="33149.824780426999"/>
    <n v="13.817336245714095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589600387115448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282322660925526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4871923048040969"/>
    <n v="-308.40973171700074"/>
    <n v="-10636.498460245866"/>
    <n v="-0.12854972817534707"/>
    <n v="-4.4334495483974115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299997"/>
    <n v="8801.6948416822997"/>
    <n v="-8.6490428341456149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5"/>
    <n v="4939.8064968430017"/>
    <n v="2.0589842573147865"/>
    <n v="34123.425575180001"/>
    <n v="14.223147426898366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542.15585930774"/>
    <n v="6902.8254999999999"/>
    <n v="3031.1812216020003"/>
    <n v="1.1204099457159387"/>
    <n v="3031.1812216020003"/>
    <n v="33000.20506357"/>
    <n v="12.197805165983585"/>
    <n v="0.2005422428431769"/>
    <n v="0.2005422428431769"/>
    <n v="-1.2408009198483838E-2"/>
    <n v="2015.4835425760002"/>
    <n v="0.74497947877081627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899991"/>
    <n v="8639.4013973303008"/>
    <n v="-0.11260804465295737"/>
    <n v="-0.18778769164765441"/>
    <n v="737.79114598900003"/>
    <n v="366.283277607"/>
    <n v="8.0679006591371838E-2"/>
    <n v="-0.14724476954391119"/>
    <n v="120.32482608099998"/>
    <n v="4.4475444390105874E-2"/>
    <n v="99.230734585999983"/>
    <n v="3.6678474107230727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60675110567004"/>
    <n v="2182.2112937480001"/>
    <n v="38290.439524758003"/>
    <n v="14.153224810062687"/>
    <n v="2181.4404368180003"/>
    <n v="0.80632182067493874"/>
    <n v="36593.320784306008"/>
    <n v="13.525921928165582"/>
    <n v="2056.4665358180005"/>
    <n v="0.76012794726432276"/>
    <n v="34049.302204138003"/>
    <n v="12.585581014533256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93873410615982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80319461026879"/>
    <n v="-786.51124431854475"/>
    <n v="-1.9554196440791007"/>
    <n v="973.94382885400012"/>
    <n v="0.35999706802088477"/>
    <n v="351.200546342"/>
    <n v="351.200546342"/>
    <n v="8871.9328203418663"/>
    <n v="0.82771554803001934"/>
    <n v="0.82771554803001934"/>
    <n v="0.26166235567976037"/>
    <n v="50.877795815930739"/>
    <n v="0.12981361267951072"/>
    <n v="0.12981361267951072"/>
    <n v="1301.1761702428826"/>
    <n v="3.279316227876742"/>
    <n v="335.111331785"/>
    <n v="48.546980042447835"/>
    <n v="1059.6970639411622"/>
    <n v="294.43490704300001"/>
    <n v="42.654259048414303"/>
    <n v="16.089214556999991"/>
    <n v="2.3308157734829007"/>
    <n v="2533.4118400900002"/>
    <n v="0.93642036378518079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8958193075807"/>
    <n v="-5.2347358719558432"/>
    <n v="622.74328251200018"/>
    <n v="-11618.14870136187"/>
    <n v="0.23018345534137405"/>
    <n v="-4.2943949583235197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542.15585930774"/>
    <n v="6723.152"/>
    <n v="2856.3704587440006"/>
    <n v="1.0557949646226013"/>
    <n v="5887.5516803460014"/>
    <n v="33049.167839860005"/>
    <n v="12.215903187023775"/>
    <n v="0.10413998348033982"/>
    <n v="1.744056504369218E-2"/>
    <n v="-1.5340204352204401E-2"/>
    <n v="1715.8009040940003"/>
    <n v="0.63420833571914115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84"/>
    <n v="8659.4403222932997"/>
    <n v="-0.11314720214970131"/>
    <n v="2.5543507729780313E-2"/>
    <n v="623.91529026299997"/>
    <n v="389.48139809999998"/>
    <n v="5.90758489990586E-2"/>
    <n v="8.836878896061795E-2"/>
    <n v="615.74104464300001"/>
    <n v="0.22759523102314927"/>
    <n v="99.989438605999993"/>
    <n v="3.6958912480167534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13086735041433"/>
    <n v="5026.4444437820002"/>
    <n v="38420.665273297003"/>
    <n v="14.201359914229862"/>
    <n v="2670.0784866660001"/>
    <n v="0.98693620525983505"/>
    <n v="36656.641803774"/>
    <n v="13.549327160251085"/>
    <n v="2447.5702917440003"/>
    <n v="0.90469090998773238"/>
    <n v="34207.920305828004"/>
    <n v="12.644210732030031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45295272102711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62911184578528E-3"/>
    <n v="-799.02795861134098"/>
    <n v="-1.9854567272060868"/>
    <n v="234.64550363200053"/>
    <n v="8.6731586390560569E-2"/>
    <n v="256.878163347"/>
    <n v="608.07870968899999"/>
    <n v="8798.9637149388673"/>
    <n v="-0.22122088710792143"/>
    <n v="0.16490172824284799"/>
    <n v="0.22897139875414574"/>
    <n v="38.207995795275785"/>
    <n v="9.4949403552689382E-2"/>
    <n v="0.22476301623220013"/>
    <n v="1288.8053308683336"/>
    <n v="3.2523447915136248"/>
    <n v="213.677555399"/>
    <n v="31.78234783312946"/>
    <n v="1053.1322847108793"/>
    <n v="0"/>
    <n v="0"/>
    <n v="43.200607947999998"/>
    <n v="6.4256479621463258"/>
    <n v="3101.1113133809999"/>
    <n v="1.1462580770568327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63112434231538E-2"/>
    <n v="-5.2378015187197109"/>
    <n v="-22.232659714999471"/>
    <n v="-11721.739650429869"/>
    <n v="-8.2178171621288126E-3"/>
    <n v="-4.3326850904986589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542.15585930774"/>
    <n v="6539.7484090909093"/>
    <n v="2735.6458230509998"/>
    <n v="1.0111717393401862"/>
    <n v="8623.1975033970011"/>
    <n v="33061.672480926005"/>
    <n v="12.220525254526079"/>
    <n v="7.0487589411111218E-2"/>
    <n v="4.5919914651229021E-3"/>
    <n v="-2.2409297752434498E-2"/>
    <n v="1961.1025373499999"/>
    <n v="0.72487872772398854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2999"/>
    <n v="-9.3345138000988648E-2"/>
    <n v="0.21715296649694116"/>
    <n v="595.55559459400001"/>
    <n v="421.03446954000003"/>
    <n v="9.8382022543147762E-2"/>
    <n v="0.30601174582615842"/>
    <n v="174.238474188"/>
    <n v="6.4403447083718313E-2"/>
    <n v="221.36647876000004"/>
    <n v="8.1823284824831172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42019695811426"/>
    <n v="8311.3726287729987"/>
    <n v="38486.033449965995"/>
    <n v="14.225521833270301"/>
    <n v="2947.2053440519994"/>
    <n v="1.0893700963869968"/>
    <n v="36520.444827656"/>
    <n v="13.498984922204887"/>
    <n v="2465.9166602849996"/>
    <n v="0.9114722444835438"/>
    <n v="33922.180778213995"/>
    <n v="12.538593355430653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9785190345289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303023024095643"/>
    <n v="-807.53736374598134"/>
    <n v="-2.0049965787442297"/>
    <n v="-67.993678172999637"/>
    <n v="-2.5132378337503512E-2"/>
    <n v="549.36670378999997"/>
    <n v="1157.4454134789999"/>
    <n v="8261.3267275145972"/>
    <n v="-0.49460456461163071"/>
    <n v="-0.28064465287489482"/>
    <n v="7.6229011068184693E-2"/>
    <n v="84.004256650963029"/>
    <n v="0.20306140536400977"/>
    <n v="0.42782442159620987"/>
    <n v="1207.5274526769026"/>
    <n v="3.0536190196587341"/>
    <n v="466.21537342400001"/>
    <n v="71.289496821607642"/>
    <n v="974.82052520880688"/>
    <n v="102.23197983199999"/>
    <n v="15.632402569170283"/>
    <n v="83.151330365999968"/>
    <n v="12.714759829355398"/>
    <n v="3834.2948887809994"/>
    <n v="1.4172633749451524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609163560496614"/>
    <n v="-5.0586155984029633"/>
    <n v="-617.36038196299955"/>
    <n v="-11087.423647112599"/>
    <n v="-0.22819378370151325"/>
    <n v="-4.0982240316287282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542.15585930774"/>
    <n v="6410.7487500000007"/>
    <n v="3134.8791800020003"/>
    <n v="1.1587396315538556"/>
    <n v="11758.076683399002"/>
    <n v="34528.568008542003"/>
    <n v="12.762731153254423"/>
    <n v="0.20925866902411494"/>
    <n v="0.87944238872944047"/>
    <n v="6.7277185038600251E-2"/>
    <n v="2376.4182955290003"/>
    <n v="0.87839112835517896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2784E-2"/>
    <n v="0.90539907155663757"/>
    <n v="682.56266922100008"/>
    <n v="385.18424604099999"/>
    <n v="0.85112320719038315"/>
    <n v="0.82542683677336814"/>
    <n v="153.196231466"/>
    <n v="5.6625641567544793E-2"/>
    <n v="187.468419399"/>
    <n v="6.9293607424526754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5010588259969"/>
    <n v="11355.000527896998"/>
    <n v="38127.196423295005"/>
    <n v="14.092885562397385"/>
    <n v="2841.1333830920003"/>
    <n v="1.0501629123446101"/>
    <n v="36118.934438232005"/>
    <n v="13.350575374661844"/>
    <n v="2522.6340872320002"/>
    <n v="0.93243660279836993"/>
    <n v="33370.639932403996"/>
    <n v="12.334728325946367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72630954624012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29043293886651E-2"/>
    <n v="-526.87735616174552"/>
    <n v="-1.3301544091429598"/>
    <n v="409.75057673800023"/>
    <n v="0.15145535284012676"/>
    <n v="572.115925404"/>
    <n v="1729.5613388829997"/>
    <n v="8208.1988158235963"/>
    <n v="-8.4971507976539962E-2"/>
    <n v="-0.22588642844908513"/>
    <n v="3.9300238643258822E-2"/>
    <n v="89.243230036741011"/>
    <n v="0.21147015835178093"/>
    <n v="0.63929457994799077"/>
    <n v="1200.7297768775879"/>
    <n v="3.0339814472729247"/>
    <n v="440.60879418899998"/>
    <n v="68.729693109404721"/>
    <n v="958.70660515170403"/>
    <n v="0"/>
    <n v="0"/>
    <n v="131.50713121500002"/>
    <n v="20.513536927336293"/>
    <n v="3615.743824528"/>
    <n v="1.3364807466117499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74111505789425"/>
    <n v="-4.364135856415885"/>
    <n v="-162.36534866599976"/>
    <n v="-9058.5327247485984"/>
    <n v="-6.001480551165414E-2"/>
    <n v="-3.3482888077004094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542.15585930774"/>
    <n v="6717.3797500000001"/>
    <n v="3252.6626903280007"/>
    <n v="1.2022757340706303"/>
    <n v="15010.739373727003"/>
    <n v="35728.937577930999"/>
    <n v="13.206421551734589"/>
    <n v="0.27472496537872715"/>
    <n v="0.58489187394429631"/>
    <n v="0.14060904945068198"/>
    <n v="2580.4311053190004"/>
    <n v="0.95380000840272861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200007"/>
    <n v="9415.8243151083007"/>
    <n v="3.8864846486891036E-2"/>
    <n v="0.48572737102606256"/>
    <n v="621.18504905499992"/>
    <n v="406.860426238"/>
    <n v="3.716547062222153E-2"/>
    <n v="0.52524545543336321"/>
    <n v="211.42116319100003"/>
    <n v="7.8147216103706632E-2"/>
    <n v="84.372712449999995"/>
    <n v="3.118653068391938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5224386624219"/>
    <n v="14310.734286700997"/>
    <n v="38366.079291814007"/>
    <n v="14.181183398185764"/>
    <n v="2815.0890304799996"/>
    <n v="1.0405361861402307"/>
    <n v="36289.313260625"/>
    <n v="13.41355218574396"/>
    <n v="2612.6935102979996"/>
    <n v="0.96572510187902116"/>
    <n v="33504.713499451995"/>
    <n v="12.384285692199381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81108426120972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5329540820825"/>
    <n v="-381.82423380740869"/>
    <n v="-0.97476184645117325"/>
    <n v="499.32445170600124"/>
    <n v="0.18456437966941797"/>
    <n v="447.30158323800003"/>
    <n v="2176.8629221209999"/>
    <n v="8122.3945286485978"/>
    <n v="-0.16095168321543141"/>
    <n v="-0.21337733083517618"/>
    <n v="2.1680802742914729E-2"/>
    <n v="66.588699743824975"/>
    <n v="0.16533526237981705"/>
    <n v="0.80462984232780776"/>
    <n v="1186.4169394439289"/>
    <n v="3.0022657662536529"/>
    <n v="311.71584577800002"/>
    <n v="46.404380484518541"/>
    <n v="936.44726461840617"/>
    <n v="0"/>
    <n v="0"/>
    <n v="135.58573746000002"/>
    <n v="20.184319259306434"/>
    <n v="3403.0353420419997"/>
    <n v="1.2578577010422392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81966971608804E-2"/>
    <n v="-3.977027612704827"/>
    <n v="52.022868468001178"/>
    <n v="-7974.9364813585962"/>
    <n v="1.9229117289600906E-2"/>
    <n v="-2.9477611191602495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542.15585930774"/>
    <n v="6744.5118181818189"/>
    <n v="2887.502883445"/>
    <n v="1.0673023855648625"/>
    <n v="17898.242257172002"/>
    <n v="36032.068262444001"/>
    <n v="13.318467189705569"/>
    <n v="0.24639211659624216"/>
    <n v="0.11729374145034899"/>
    <n v="0.14396866877929204"/>
    <n v="1861.138448254"/>
    <n v="0.68792918513662737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600007"/>
    <n v="9498.4169791663007"/>
    <n v="4.4329560063776086E-2"/>
    <n v="0.11909820983578356"/>
    <n v="640.52632371899995"/>
    <n v="443.50516699100001"/>
    <n v="0.15152233447619201"/>
    <n v="0.24956479203161086"/>
    <n v="225.68399691599998"/>
    <n v="8.3419161128206687E-2"/>
    <n v="288.17929708399998"/>
    <n v="0.10651918410595658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5174956186518"/>
    <n v="17039.199261565998"/>
    <n v="38295.437631835004"/>
    <n v="14.155072251198478"/>
    <n v="2616.0530738429998"/>
    <n v="0.966966891179594"/>
    <n v="36187.880305771003"/>
    <n v="13.376059709005233"/>
    <n v="2566.6339437759998"/>
    <n v="0.94870018893127606"/>
    <n v="33380.449367529996"/>
    <n v="12.338354169428998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670224831794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84889946210755E-2"/>
    <n v="-326.23454422619477"/>
    <n v="-0.83660506149290781"/>
    <n v="208.45703864700002"/>
    <n v="7.7051592194528701E-2"/>
    <n v="602.67154546399979"/>
    <n v="2779.5344675849997"/>
    <n v="8091.0532406115981"/>
    <n v="-4.9433207627571973E-2"/>
    <n v="-0.18281823463788516"/>
    <n v="-4.608690058467535E-3"/>
    <n v="89.357326625082194"/>
    <n v="0.22276437605435956"/>
    <n v="1.0273942183821674"/>
    <n v="1181.265270231816"/>
    <n v="2.9906811435402529"/>
    <n v="468.96272678699995"/>
    <n v="69.53249388973903"/>
    <n v="923.21682157713531"/>
    <n v="122.37152774"/>
    <n v="18.143867345611508"/>
    <n v="133.70881867699984"/>
    <n v="19.824832735343172"/>
    <n v="3331.1365203289997"/>
    <n v="1.2312818716730112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794861081488"/>
    <n v="-3.8272862050331606"/>
    <n v="-394.2145068169998"/>
    <n v="-7546.9916717615979"/>
    <n v="-0.14571278385983086"/>
    <n v="-2.7895806654569286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542.15585930774"/>
    <n v="6848.1768181818188"/>
    <n v="3169.6429617189997"/>
    <n v="1.1715893043180061"/>
    <n v="21067.885218891002"/>
    <n v="36382.179077541005"/>
    <n v="13.447878007027168"/>
    <n v="0.22633343006350781"/>
    <n v="0.12417337235060688"/>
    <n v="0.16478713407305823"/>
    <n v="2419.9808894689995"/>
    <n v="0.89449308991515619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29991"/>
    <n v="6.7618143900709748E-2"/>
    <n v="0.13628515637743277"/>
    <n v="666.63966532699999"/>
    <n v="475.463605691"/>
    <n v="4.912110783524648E-2"/>
    <n v="0.18611368318163812"/>
    <n v="207.17329895"/>
    <n v="7.6577085848956589E-2"/>
    <n v="88.889463215999996"/>
    <n v="3.2856048970876801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40025190676357"/>
    <n v="20123.447989761"/>
    <n v="38278.400416374003"/>
    <n v="14.148774816550302"/>
    <n v="2715.4483904139997"/>
    <n v="1.0037061994235519"/>
    <n v="36214.106007333001"/>
    <n v="13.385753466888806"/>
    <n v="2571.4085036209999"/>
    <n v="0.95046500071442863"/>
    <n v="33400.847877078995"/>
    <n v="12.345894033035174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41198709123264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64113641649315E-2"/>
    <n v="-272.93534989324479"/>
    <n v="-0.70089680952313693"/>
    <n v="229.43412031699989"/>
    <n v="8.4805312350772571E-2"/>
    <n v="670.32467355199992"/>
    <n v="3449.8591411369998"/>
    <n v="8046.3719532329987"/>
    <n v="-6.2490790035434673E-2"/>
    <n v="-0.1619175881506717"/>
    <n v="-3.3444334113341467E-2"/>
    <n v="97.883669091647405"/>
    <n v="0.24777087748964136"/>
    <n v="1.2751650958718088"/>
    <n v="1175.5358489793114"/>
    <n v="2.9741656813799549"/>
    <n v="514.27708160299994"/>
    <n v="75.096933863857174"/>
    <n v="912.98822825899902"/>
    <n v="153.42057214299999"/>
    <n v="22.403126586286501"/>
    <n v="156.04759194899998"/>
    <n v="22.786735227790217"/>
    <n v="3754.5734017469995"/>
    <n v="1.3877960681659982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20676384799201"/>
    <n v="-3.6750624909030916"/>
    <n v="-440.89055323500003"/>
    <n v="-7129.3351618119996"/>
    <n v="-0.16296556513886878"/>
    <n v="-2.6352030570494627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542.15585930774"/>
    <n v="6926.4577272727274"/>
    <n v="2648.102358742"/>
    <n v="0.97881320947228434"/>
    <n v="23715.987577633001"/>
    <n v="36134.144691183996"/>
    <n v="13.356197512514512"/>
    <n v="0.18132745310656517"/>
    <n v="-8.5643188905612733E-2"/>
    <n v="0.14248447387530661"/>
    <n v="1933.2349474300004"/>
    <n v="0.71457808166330883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14"/>
    <n v="9706.0700739019994"/>
    <n v="8.1927257122718533E-2"/>
    <n v="0.12763143949959566"/>
    <n v="656.10426288999997"/>
    <n v="513.08818147900001"/>
    <n v="3.2967615543308071E-2"/>
    <n v="0.29464876306388832"/>
    <n v="199.86120596400002"/>
    <n v="7.3874330353135606E-2"/>
    <n v="116.03432881099999"/>
    <n v="4.288955576717673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4687884277817"/>
    <n v="23149.377562587"/>
    <n v="38133.226809492997"/>
    <n v="14.095114562968048"/>
    <n v="2852.2105424789997"/>
    <n v="1.0542573424166317"/>
    <n v="35970.569138478"/>
    <n v="13.295735381507075"/>
    <n v="2588.9290179939999"/>
    <n v="0.95694107625147407"/>
    <n v="33128.561463331003"/>
    <n v="12.245249306196527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316266165157803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5557895549724"/>
    <n v="-287.92564123568104"/>
    <n v="-0.73891705045353451"/>
    <n v="-114.54568959899996"/>
    <n v="-4.2339312790339444E-2"/>
    <n v="514.17291009999997"/>
    <n v="3964.0320512369999"/>
    <n v="8085.6461318249994"/>
    <n v="8.2700112647781099E-2"/>
    <n v="-0.13661552308940828"/>
    <n v="5.6367786214581717E-3"/>
    <n v="74.233169441785364"/>
    <n v="0.19005278806434495"/>
    <n v="1.4652178839361538"/>
    <n v="1181.4475975636581"/>
    <n v="2.9886825238540067"/>
    <n v="381.98093637699998"/>
    <n v="55.148093212633221"/>
    <n v="918.30178433467995"/>
    <n v="0"/>
    <n v="0"/>
    <n v="132.19197372299999"/>
    <n v="19.085076229152158"/>
    <n v="3540.102482926"/>
    <n v="1.3085215764921265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70836701984219"/>
    <n v="-3.7275995743075421"/>
    <n v="-628.71859969899992"/>
    <n v="-7242.720574987"/>
    <n v="-0.23239210085468442"/>
    <n v="-2.6771134989969885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542.15585930774"/>
    <n v="6898.7559523809514"/>
    <n v="3315.3288757459995"/>
    <n v="1.2254389210493677"/>
    <n v="27031.316453379"/>
    <n v="36242.839986139996"/>
    <n v="13.396374354681958"/>
    <n v="0.16102213461595216"/>
    <n v="3.3897011372662433E-2"/>
    <n v="0.13687231584493742"/>
    <n v="2528.8351176839997"/>
    <n v="0.9347286782911165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54050144603085E-2"/>
    <n v="100.51694366500001"/>
    <n v="3.7153893205934485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82963432265457"/>
    <n v="26526.545401064999"/>
    <n v="37812.681318912"/>
    <n v="13.976631922226582"/>
    <n v="3217.8660913890003"/>
    <n v="1.1894139311370069"/>
    <n v="35635.698931995001"/>
    <n v="13.171957922345722"/>
    <n v="2695.6476409110001"/>
    <n v="0.99638728476490723"/>
    <n v="32722.199331492"/>
    <n v="12.095046418018786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302664637209943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57422177177938E-2"/>
    <n v="-226.58393803158941"/>
    <n v="-0.58025756754462288"/>
    <n v="460.37948774599931"/>
    <n v="0.17016922419492148"/>
    <n v="782.87648019799997"/>
    <n v="4746.9085314349995"/>
    <n v="8255.9465725169994"/>
    <n v="0.27800702232711427"/>
    <n v="-8.7807816369003588E-2"/>
    <n v="3.16969793073969E-2"/>
    <n v="113.48081967268428"/>
    <n v="0.28937319498744796"/>
    <n v="1.7545910789236014"/>
    <n v="1207.22889906449"/>
    <n v="3.0516303628519941"/>
    <n v="616.521535503"/>
    <n v="89.367059765351087"/>
    <n v="941.73470128002737"/>
    <n v="121.580378049"/>
    <n v="17.623522108654861"/>
    <n v="166.35494469499997"/>
    <n v="24.11375990733319"/>
    <n v="4160.0443186760003"/>
    <n v="1.5376695382139938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23061716462591"/>
    <n v="-3.6318879303966165"/>
    <n v="-322.49699245200065"/>
    <n v="-6912.2883047860005"/>
    <n v="-0.11920397079252648"/>
    <n v="-2.5549764260696786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542.15585930774"/>
    <n v="6907.0061904761906"/>
    <n v="2947.8375198389999"/>
    <n v="1.0896037663616416"/>
    <n v="29979.153973217999"/>
    <n v="36545.088131522993"/>
    <n v="13.508093781335814"/>
    <n v="0.15624927816194667"/>
    <n v="0.11424605356420803"/>
    <n v="0.15114401608950057"/>
    <n v="2167.0619417789999"/>
    <n v="0.80100712397145035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79999"/>
    <n v="10309.577161622999"/>
    <n v="0.16957666793238557"/>
    <n v="0.47380786398339869"/>
    <n v="655.57414205400005"/>
    <n v="605.03007548000005"/>
    <n v="3.8649258658177255E-2"/>
    <n v="0.38651538490352566"/>
    <n v="259.81220650900002"/>
    <n v="9.6033908535907542E-2"/>
    <n v="87.918743326000012"/>
    <n v="3.2497243561451145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7383442120521"/>
    <n v="29712.824107877997"/>
    <n v="38034.181532748997"/>
    <n v="14.05850463930221"/>
    <n v="3018.0907025380002"/>
    <n v="1.1155713212056766"/>
    <n v="35783.358326729998"/>
    <n v="13.226536993125283"/>
    <n v="2676.283735385"/>
    <n v="0.98922983994286262"/>
    <n v="32873.891032190004"/>
    <n v="12.151115942642848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34148126281389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34577850410387E-2"/>
    <n v="-215.62820653488509"/>
    <n v="-0.55041085796639655"/>
    <n v="103.36578017899984"/>
    <n v="3.8206903412403501E-2"/>
    <n v="798.04740953099986"/>
    <n v="5544.9559409659996"/>
    <n v="8397.5232450079984"/>
    <n v="0.21566334111001417"/>
    <n v="-5.3813083598909239E-2"/>
    <n v="5.7136997991561911E-2"/>
    <n v="115.54172495623317"/>
    <n v="0.29498079772307834"/>
    <n v="2.0495718766466799"/>
    <n v="1229.2380992476822"/>
    <n v="3.1039610881843611"/>
    <n v="637.54195813299998"/>
    <n v="92.303661029301296"/>
    <n v="962.97936641427043"/>
    <n v="137.26188221699999"/>
    <n v="19.872847718924188"/>
    <n v="160.50545139799988"/>
    <n v="23.238063926931872"/>
    <n v="3984.3261163440002"/>
    <n v="1.4727191419351304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311537557348874"/>
    <n v="-3.6543719461507576"/>
    <n v="-694.68162935200007"/>
    <n v="-6977.1493516939991"/>
    <n v="-0.25677389431067482"/>
    <n v="-2.5789508956683203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542.15585930774"/>
    <n v="6855.6470454545452"/>
    <n v="3559.3927853899995"/>
    <n v="1.315651815549596"/>
    <n v="33538.546758607998"/>
    <n v="37038.965698256005"/>
    <n v="13.69064483892029"/>
    <n v="0.15676294685154124"/>
    <n v="0.16110752402311279"/>
    <n v="0.16693557045507101"/>
    <n v="2678.8939097809998"/>
    <n v="0.99019463390915208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18"/>
    <n v="0.45812871183851289"/>
    <n v="659.7512332660001"/>
    <n v="653.89935104400001"/>
    <n v="-6.4522625739263262E-2"/>
    <n v="0.51441478646473149"/>
    <n v="248.22585705200004"/>
    <n v="9.1751267473852385E-2"/>
    <n v="200.12383474900003"/>
    <n v="7.3971405348404212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8458538426597"/>
    <n v="33134.765349160996"/>
    <n v="38438.649984204996"/>
    <n v="14.208007569879264"/>
    <n v="3198.1724097169999"/>
    <n v="1.1821345917640176"/>
    <n v="36064.647318816002"/>
    <n v="13.330509326454468"/>
    <n v="2958.2329474210001"/>
    <n v="1.0934462091591353"/>
    <n v="33102.223371328"/>
    <n v="12.235514005640741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88382604882349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805961706936291E-2"/>
    <n v="-202.4109553922743"/>
    <n v="-0.51736273095897489"/>
    <n v="377.39100640299978"/>
    <n v="0.13949434431181865"/>
    <n v="484.37519161999995"/>
    <n v="6029.3311325859995"/>
    <n v="8338.4634667329992"/>
    <n v="-0.1086786488665078"/>
    <n v="-5.8469082715466802E-2"/>
    <n v="0.11104110866716033"/>
    <n v="70.653461067712357"/>
    <n v="0.17903871213028022"/>
    <n v="2.2286105887769603"/>
    <n v="1222.6093852487131"/>
    <n v="3.0821309308517963"/>
    <n v="312.09690115000001"/>
    <n v="45.524062000380773"/>
    <n v="956.00896958040107"/>
    <n v="0"/>
    <n v="0"/>
    <n v="172.27829046999994"/>
    <n v="25.12939906733158"/>
    <n v="3906.3164329029996"/>
    <n v="1.443884565972939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23275042334389"/>
    <n v="-3.5994936618107709"/>
    <n v="-106.98418521700017"/>
    <n v="-6775.7238051939994"/>
    <n v="-3.9544367818461552E-2"/>
    <n v="-2.5044983409970438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542.15585930774"/>
    <n v="6815.5428571428565"/>
    <n v="3563.3916745649999"/>
    <n v="1.3171299176081452"/>
    <n v="37101.938433172996"/>
    <n v="37101.938433172996"/>
    <n v="13.713921335227115"/>
    <n v="0.14181356428432634"/>
    <n v="1.7990056619717754E-2"/>
    <n v="0.14181356428432634"/>
    <n v="2170.8782761369998"/>
    <n v="0.80241774862840209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1"/>
    <n v="10857.655667774001"/>
    <n v="0.23358692423137195"/>
    <n v="0.20253629455589794"/>
    <n v="684.21707387599997"/>
    <n v="591.44173758099998"/>
    <n v="2.463439025330616E-2"/>
    <n v="0.19708674596946252"/>
    <n v="168.59532213600002"/>
    <n v="6.2317579158967011E-2"/>
    <n v="258.05542989099996"/>
    <n v="9.5384554422342463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9206456238297"/>
    <n v="39051.307610763994"/>
    <n v="39051.307610763994"/>
    <n v="14.434463082741223"/>
    <n v="5487.947209127"/>
    <n v="2.0284998438398425"/>
    <n v="36560.735100614998"/>
    <n v="13.513877341772931"/>
    <n v="5435.8342545550004"/>
    <n v="2.0092374281891368"/>
    <n v="33598.25112904"/>
    <n v="12.418859834366211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62415650705737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79072801568436"/>
    <n v="-287.95695792241384"/>
    <n v="-0.72054174751410838"/>
    <n v="-2301.0376324660001"/>
    <n v="-0.8505283123649785"/>
    <n v="1847.869838826"/>
    <n v="7877.2009714119995"/>
    <n v="7877.2009714119995"/>
    <n v="-0.19975576475195467"/>
    <n v="-9.5913585361336207E-2"/>
    <n v="-9.5913585361336207E-2"/>
    <n v="271.12584830853012"/>
    <n v="0.68302473341232739"/>
    <n v="2.9116353221892877"/>
    <n v="1161.1979972064103"/>
    <n v="2.9116353221892877"/>
    <n v="1363.3710899869998"/>
    <n v="200.03851763005986"/>
    <n v="893.76371968243075"/>
    <n v="122.45001160699999"/>
    <n v="17.966288845013917"/>
    <n v="484.4987488390002"/>
    <n v="71.087330678470252"/>
    <n v="7764.412100429"/>
    <n v="2.8699453790361571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8154614280119"/>
    <n v="-3.6321770697033964"/>
    <n v="-4148.907471292001"/>
    <n v="-6864.0861774279992"/>
    <n v="-1.5335530457773063"/>
    <n v="-2.5371595622966745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166.75107789051"/>
    <n v="6986.9590476190479"/>
    <n v="2954.8262798930004"/>
    <n v="1.0113492616773685"/>
    <n v="2954.8262798930004"/>
    <n v="37025.583491464"/>
    <n v="12.672757373953589"/>
    <n v="-2.5189830672230684E-2"/>
    <n v="-2.5189830672230684E-2"/>
    <n v="0.12198040648958708"/>
    <n v="2288.5460974770003"/>
    <n v="0.78330134727304501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50001"/>
    <n v="11173.790655060002"/>
    <n v="0.29335241426713465"/>
    <n v="0.45036967712632947"/>
    <n v="808.44050036900001"/>
    <n v="526.23606046500004"/>
    <n v="9.5757931989405076E-2"/>
    <n v="0.43669146979082063"/>
    <n v="139.387799234"/>
    <n v="4.7708303124758968E-2"/>
    <n v="119.586086827"/>
    <n v="4.0930765183174053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454169090177633"/>
    <n v="2467.4700198060004"/>
    <n v="39336.56633682199"/>
    <n v="13.463738153536511"/>
    <n v="2463.7211273980006"/>
    <n v="0.84325855639240144"/>
    <n v="36843.015791195001"/>
    <n v="12.610269873375426"/>
    <n v="2315.8697044810006"/>
    <n v="0.79265340629522862"/>
    <n v="33857.654297702997"/>
    <n v="11.588469315140065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605150097172896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80757077559202"/>
    <n v="-341.19344402078883"/>
    <n v="-0.7909807795829239"/>
    <n v="635.20768300400005"/>
    <n v="0.21741272087276495"/>
    <n v="150.41103527000001"/>
    <n v="150.41103527000001"/>
    <n v="7676.4114603399994"/>
    <n v="-0.57172323096693201"/>
    <n v="-0.57172323096693201"/>
    <n v="-0.13475320251081424"/>
    <n v="21.527396145431211"/>
    <n v="5.1481229371613549E-2"/>
    <n v="5.1481229371613549E-2"/>
    <n v="1131.8475975359106"/>
    <n v="2.6274076129537063"/>
    <n v="124.16863266"/>
    <n v="17.771484248546304"/>
    <n v="862.98822388852909"/>
    <n v="0"/>
    <n v="0"/>
    <n v="26.242402610000013"/>
    <n v="3.7559118968849057"/>
    <n v="2617.8810550760004"/>
    <n v="0.89602292027338992"/>
    <n v="336.945224817"/>
    <n v="336.945224817"/>
    <n v="-9987.3943056979988"/>
    <n v="48.224874730276412"/>
    <n v="-1473.0410415566998"/>
    <n v="-0.32308969307531232"/>
    <n v="-0.32308969307531232"/>
    <n v="-0.29478348142918487"/>
    <n v="0.11532634140397847"/>
    <n v="-3.4183883925366301"/>
    <n v="484.79664773399998"/>
    <n v="-7002.032812206"/>
    <n v="0.16593149150115136"/>
    <n v="-2.3965878343012705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166.75107789051"/>
    <n v="6966.1513157894742"/>
    <n v="3019.0414647440002"/>
    <n v="1.0333282119220799"/>
    <n v="5973.8677446370002"/>
    <n v="37188.25449746399"/>
    <n v="12.728434827120266"/>
    <n v="1.4660773947707595E-2"/>
    <n v="5.6950247998128756E-2"/>
    <n v="0.12524026861008908"/>
    <n v="1893.3392896509999"/>
    <n v="0.64803379668148586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002"/>
    <n v="0.30879847681605543"/>
    <n v="0.19846313041159225"/>
    <n v="665.25097422700003"/>
    <n v="497.34374984999999"/>
    <n v="6.625207717954118E-2"/>
    <n v="0.27693839109180307"/>
    <n v="683.29204039700005"/>
    <n v="0.23387056804928397"/>
    <n v="82.60947037199999"/>
    <n v="2.8274767771222752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547686263198976"/>
    <n v="5375.9224270900004"/>
    <n v="39400.785594071996"/>
    <n v="13.485718497642429"/>
    <n v="2772.488546215"/>
    <n v="0.94894047183208241"/>
    <n v="36945.425850743995"/>
    <n v="12.645321794639969"/>
    <n v="2516.6240589200002"/>
    <n v="0.86136565835620293"/>
    <n v="33926.708064879007"/>
    <n v="11.612104368383203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574813475879573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851349290090049E-2"/>
    <n v="-327.12354264265701"/>
    <n v="-0.7572836705221625"/>
    <n v="366.45354475500028"/>
    <n v="0.12542616276596963"/>
    <n v="704.32763323999984"/>
    <n v="854.7386685099998"/>
    <n v="8123.8609302329996"/>
    <n v="1.741874295825486"/>
    <n v="0.40563820915084059"/>
    <n v="-7.6725260675831519E-2"/>
    <n v="101.10713955402767"/>
    <n v="0.24107042661135281"/>
    <n v="0.29255165598296629"/>
    <n v="1194.7467412946628"/>
    <n v="2.7805562748881067"/>
    <n v="663.25689123699999"/>
    <n v="95.2113816037361"/>
    <n v="926.41725765913588"/>
    <n v="137.67080992699999"/>
    <n v="19.762822207860374"/>
    <n v="41.07074200299985"/>
    <n v="5.895757950291566"/>
    <n v="3612.7800405239996"/>
    <n v="1.2365472892433427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321907732126274"/>
    <n v="-3.5378399454102691"/>
    <n v="-337.87408848499956"/>
    <n v="-7317.6742409759991"/>
    <n v="-0.11564426384538316"/>
    <n v="-2.504622519153501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166.75107789051"/>
    <n v="6962.944130434782"/>
    <n v="3265.4024512279998"/>
    <n v="1.1176502593744682"/>
    <n v="9239.2701958649996"/>
    <n v="37718.011125641002"/>
    <n v="12.909754784378435"/>
    <n v="7.1443648626313472E-2"/>
    <n v="0.19364956666290056"/>
    <n v="0.14083796418349182"/>
    <n v="2252.6018098459999"/>
    <n v="0.77099868535193627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84"/>
    <n v="0.11501093034197818"/>
    <n v="630.48197051099999"/>
    <n v="551.43936583200002"/>
    <n v="5.8645030344832705E-2"/>
    <n v="0.30972498863210296"/>
    <n v="303.34954659200002"/>
    <n v="0.10382753871645313"/>
    <n v="155.175735468"/>
    <n v="5.3112044712654773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70934043194842"/>
    <n v="9282.4647853669994"/>
    <n v="40022.399767358002"/>
    <n v="13.698478563937682"/>
    <n v="3516.1274818689994"/>
    <n v="1.2034659895066615"/>
    <n v="37514.347988561"/>
    <n v="12.840046942425637"/>
    <n v="2959.3893553699995"/>
    <n v="1.0129110668657288"/>
    <n v="34420.180759964001"/>
    <n v="11.78100541316822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5549226409324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944314494501613"/>
    <n v="-335.21103551015653"/>
    <n v="-0.78872377955924844"/>
    <n v="-84.401780549999785"/>
    <n v="-2.888822230408367E-2"/>
    <n v="782.70984796899972"/>
    <n v="1637.4485164789994"/>
    <n v="8357.2040744119986"/>
    <n v="0.42474933877353638"/>
    <n v="0.41470906308853639"/>
    <n v="1.1605562890773857E-2"/>
    <n v="112.41076092335751"/>
    <n v="0.267898330347772"/>
    <n v="0.56044998633073828"/>
    <n v="1223.1532455670572"/>
    <n v="2.860422701618091"/>
    <n v="666.28725067300002"/>
    <n v="95.690449067468748"/>
    <n v="950.81820990499682"/>
    <n v="294.49399879043688"/>
    <n v="42.294465282755041"/>
    <n v="116.42259729599971"/>
    <n v="16.720311855888756"/>
    <n v="4689.2522062459993"/>
    <n v="1.6049917346672562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73414752927881"/>
    <n v="-3.6491464811773398"/>
    <n v="-867.11162851899962"/>
    <n v="-7567.4254875320003"/>
    <n v="-0.29678655265185566"/>
    <n v="-2.590104951919924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166.75107789051"/>
    <n v="6851.9389473684205"/>
    <n v="3956.124359425"/>
    <n v="1.354063850465419"/>
    <n v="13195.39455529"/>
    <n v="38539.256305063995"/>
    <n v="13.190842613980253"/>
    <n v="0.12224089964648033"/>
    <n v="0.26197028091604979"/>
    <n v="0.116155651040315"/>
    <n v="3116.3321059039999"/>
    <n v="1.0666279083458055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251213962452289E-2"/>
    <n v="103.43830642099998"/>
    <n v="3.540385962447305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44087624014271"/>
    <n v="12479.963309986999"/>
    <n v="40176.270392854007"/>
    <n v="13.751143908275576"/>
    <n v="2964.5099955119999"/>
    <n v="1.0146637098763072"/>
    <n v="37637.724600980997"/>
    <n v="12.882275091920684"/>
    <n v="2612.7492982660001"/>
    <n v="0.89426647235757895"/>
    <n v="34510.295970997999"/>
    <n v="11.811849173007948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39723751872844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965508806399173"/>
    <n v="-238.72818434647192"/>
    <n v="-0.56030129429531761"/>
    <n v="1110.3865320509999"/>
    <n v="0.38005232558272012"/>
    <n v="635.54538233499989"/>
    <n v="2272.9938988139993"/>
    <n v="8420.633531342999"/>
    <n v="0.11086818967014267"/>
    <n v="0.31420253662813935"/>
    <n v="2.5880795566242343E-2"/>
    <n v="92.754092997149314"/>
    <n v="0.21752830532231437"/>
    <n v="0.77797829165305254"/>
    <n v="1226.6641085274655"/>
    <n v="2.8821327205360516"/>
    <n v="432.79808181499999"/>
    <n v="63.164322557372159"/>
    <n v="945.25283935296432"/>
    <n v="0"/>
    <n v="0"/>
    <n v="202.7473005199999"/>
    <n v="29.589770439777158"/>
    <n v="3833.0439069549998"/>
    <n v="1.3119370677237416"/>
    <n v="123.08045247000018"/>
    <n v="-1557.5626535109989"/>
    <n v="-10057.647619133"/>
    <n v="17.962864732948457"/>
    <n v="-1465.3922928739375"/>
    <n v="-1.2559565438447313"/>
    <n v="0.17420282791325326"/>
    <n v="-0.14814984392366481"/>
    <n v="4.2126782741677339E-2"/>
    <n v="-3.4424340148313699"/>
    <n v="474.84114971600013"/>
    <n v="-6930.2189891499993"/>
    <n v="0.1625240202604058"/>
    <n v="-2.3720080959186318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166.75107789051"/>
    <n v="6852.8014285714289"/>
    <n v="4099.3208053459994"/>
    <n v="1.4030757402142369"/>
    <n v="17294.715360636001"/>
    <n v="39385.914420081994"/>
    <n v="13.480628536537981"/>
    <n v="0.15215612835878001"/>
    <n v="0.26029693073788152"/>
    <n v="0.10235336089058045"/>
    <n v="3241.9092968249997"/>
    <n v="1.1096092504929556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08"/>
    <n v="663.80673907899995"/>
    <n v="542.75470011900006"/>
    <n v="6.8613515551991799E-2"/>
    <n v="0.33400710690281388"/>
    <n v="264.68826652999996"/>
    <n v="9.0594930995223047E-2"/>
    <n v="90.824655859000003"/>
    <n v="3.1086581729071049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62327896120129"/>
    <n v="15536.707660107999"/>
    <n v="40277.280984171004"/>
    <n v="13.785716833135897"/>
    <n v="2879.3641109979999"/>
    <n v="0.98552080288916"/>
    <n v="37701.999681499001"/>
    <n v="12.904274542672994"/>
    <n v="2663.8963567259998"/>
    <n v="0.91177259113095155"/>
    <n v="34561.498817426"/>
    <n v="11.82937438634557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748211758208296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684295060222387"/>
    <n v="-130.79255028950266"/>
    <n v="-0.3050882965979132"/>
    <n v="1258.0442094969994"/>
    <n v="0.43059116236043227"/>
    <n v="446.16607789999995"/>
    <n v="2719.1599767139992"/>
    <n v="8419.4980260049979"/>
    <n v="-2.5385676701168425E-3"/>
    <n v="0.24911860507257799"/>
    <n v="3.657831398222311E-2"/>
    <n v="65.107107297724525"/>
    <n v="0.15270939497870989"/>
    <n v="0.9306876866317626"/>
    <n v="1225.1825160813648"/>
    <n v="2.8817440707893529"/>
    <n v="299.38400406599999"/>
    <n v="43.687827115167288"/>
    <n v="942.53628598361308"/>
    <n v="0"/>
    <n v="0"/>
    <n v="146.78207383399996"/>
    <n v="21.419280182557241"/>
    <n v="3502.9104280209999"/>
    <n v="1.1989421845907229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413355562351404"/>
    <n v="-3.1868323673872676"/>
    <n v="811.87813159699942"/>
    <n v="-6170.3637260210025"/>
    <n v="0.27788176738172232"/>
    <n v="-2.1119322110598437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166.75107789051"/>
    <n v="6858.1115909090913"/>
    <n v="3002.8473109559995"/>
    <n v="1.0277854341322543"/>
    <n v="20297.562671592001"/>
    <n v="39501.258847593002"/>
    <n v="13.520107507736951"/>
    <n v="0.13405341038216023"/>
    <n v="3.9946082191746779E-2"/>
    <n v="9.6280639786779032E-2"/>
    <n v="2168.7629193399998"/>
    <n v="0.74230312358910955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693"/>
    <n v="674.12934560099995"/>
    <n v="535.57061705400008"/>
    <n v="5.2461578295323497E-2"/>
    <n v="0.20758596948853203"/>
    <n v="233.67498020800002"/>
    <n v="7.9980004345430525E-2"/>
    <n v="122.49067695499998"/>
    <n v="4.1924920102337192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83145568740057"/>
    <n v="18511.884216679999"/>
    <n v="40523.992565877998"/>
    <n v="13.870158878918588"/>
    <n v="2779.356500677"/>
    <n v="0.95129116862994256"/>
    <n v="37865.303108332999"/>
    <n v="12.960168454704915"/>
    <n v="2671.5405789689999"/>
    <n v="0.91438898133099944"/>
    <n v="34666.405452618994"/>
    <n v="11.865280811291585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902187298943095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708772582484651E-3"/>
    <n v="-150.33814591519484"/>
    <n v="-0.35005137118163904"/>
    <n v="135.48667609199933"/>
    <n v="4.6373064557191555E-2"/>
    <n v="745.59017486897312"/>
    <n v="3464.7501515829722"/>
    <n v="8562.416655409972"/>
    <n v="0.23714182373574566"/>
    <n v="0.24652174383479508"/>
    <n v="5.8257361653789363E-2"/>
    <n v="108.71654171642602"/>
    <n v="0.25519336889576522"/>
    <n v="1.1858810555275276"/>
    <n v="1244.541731172709"/>
    <n v="2.9306608721973517"/>
    <n v="540.31420672399997"/>
    <n v="78.784691611058705"/>
    <n v="951.78848370493279"/>
    <n v="192.93166879697318"/>
    <n v="28.131894070186561"/>
    <n v="205.27596814497315"/>
    <n v="29.931850105367324"/>
    <n v="3720.7667314409732"/>
    <n v="1.2735079257697708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72249163751672"/>
    <n v="-3.2807122433789906"/>
    <n v="-610.10349877697377"/>
    <n v="-6386.2527179809749"/>
    <n v="-0.20882030433857363"/>
    <n v="-2.1858245999656631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166.75107789051"/>
    <n v="6868.3819047619063"/>
    <n v="3632.1605173959997"/>
    <n v="1.2431806507742149"/>
    <n v="23929.723188987999"/>
    <n v="39963.77640327"/>
    <n v="13.678413527833566"/>
    <n v="0.13583888180342196"/>
    <n v="0.14592102683583064"/>
    <n v="9.8443727575953321E-2"/>
    <n v="2830.2325402469996"/>
    <n v="0.96870452568795917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"/>
    <n v="12071.248978518999"/>
    <n v="0.25721801820546886"/>
    <n v="0.16956936424238833"/>
    <n v="667.48007323800005"/>
    <n v="606.01941169500003"/>
    <n v="1.2606629258817836E-3"/>
    <n v="0.27458632888265111"/>
    <n v="254.64293021100002"/>
    <n v="8.7156710772716639E-2"/>
    <n v="95.582703430000009"/>
    <n v="3.2715120073508311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97843173690887"/>
    <n v="21783.521675816999"/>
    <n v="40711.38129682"/>
    <n v="13.934296475086072"/>
    <n v="2846.789680408001"/>
    <n v="0.97437154293065265"/>
    <n v="37996.644398327"/>
    <n v="13.0051226767406"/>
    <n v="2737.2661344670009"/>
    <n v="0.93688488658220259"/>
    <n v="34832.263083464997"/>
    <n v="11.922048951483481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48665634844995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39633340512618"/>
    <n v="-110.31752991195648"/>
    <n v="-0.25588294725250732"/>
    <n v="470.04660419999885"/>
    <n v="0.16088298975357612"/>
    <n v="606.82756364900001"/>
    <n v="4071.5777152319724"/>
    <n v="8498.919545506973"/>
    <n v="-9.4725902847247911E-2"/>
    <n v="0.18021564030874249"/>
    <n v="5.6242440059229848E-2"/>
    <n v="88.350876824173312"/>
    <n v="0.20769904905682512"/>
    <n v="1.3935801045843528"/>
    <n v="1235.008938905235"/>
    <n v="2.9089276976767264"/>
    <n v="390.73096710599998"/>
    <n v="56.888357771006149"/>
    <n v="933.57990761208168"/>
    <n v="0"/>
    <n v="0"/>
    <n v="216.09659654300003"/>
    <n v="31.46251905316716"/>
    <n v="3878.4650227860011"/>
    <n v="1.3274833664259138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302715651698973E-2"/>
    <n v="-3.1648106449292337"/>
    <n v="-136.78095944900116"/>
    <n v="-6082.1431241949758"/>
    <n v="-4.6816059303249016E-2"/>
    <n v="-2.0817369196721156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166.75107789051"/>
    <n v="6874.4722727272738"/>
    <n v="3020.259187141"/>
    <n v="1.033745002125793"/>
    <n v="26949.982376128999"/>
    <n v="40335.933231668998"/>
    <n v="13.805791755173264"/>
    <n v="0.13636348846573187"/>
    <n v="0.14053717643142605"/>
    <n v="0.1162830496306213"/>
    <n v="2170.8190062859999"/>
    <n v="0.743006861074095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5001"/>
    <n v="0.26437570170677827"/>
    <n v="0.21753564811234716"/>
    <n v="656.81477616799998"/>
    <n v="641.688890851"/>
    <n v="1.082927391555577E-3"/>
    <n v="0.25064056046136662"/>
    <n v="303.77530322199999"/>
    <n v="0.10397326256368394"/>
    <n v="89.712094755999999"/>
    <n v="3.0705785112448713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75525187545725"/>
    <n v="24960.988536127999"/>
    <n v="40862.918584305007"/>
    <n v="13.986163187135251"/>
    <n v="3029.5182067660003"/>
    <n v="1.0369140895016977"/>
    <n v="38173.952062614"/>
    <n v="13.065809823252946"/>
    <n v="2768.7392514460003"/>
    <n v="0.94765719960648953"/>
    <n v="35012.073316916998"/>
    <n v="11.983592653081498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256889895208302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807516628779369E-2"/>
    <n v="-78.637451980203693"/>
    <n v="-0.18037143196198638"/>
    <n v="103.57128214999966"/>
    <n v="3.5449373266428927E-2"/>
    <n v="620.548820933"/>
    <n v="4692.1265361649721"/>
    <n v="8605.2954563399726"/>
    <n v="0.20688742783495018"/>
    <n v="0.1836752265160837"/>
    <n v="6.4268126015265548E-2"/>
    <n v="90.268575726877259"/>
    <n v="0.21239542783140444"/>
    <n v="1.6059755324157572"/>
    <n v="1251.0443451903268"/>
    <n v="2.9453370120290772"/>
    <n v="395.86658466"/>
    <n v="57.585014377103583"/>
    <n v="936.01682877655207"/>
    <n v="0"/>
    <n v="0"/>
    <n v="224.682236273"/>
    <n v="32.683561349773683"/>
    <n v="3798.0156812440005"/>
    <n v="1.2999479465859771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620294446018383"/>
    <n v="-3.1257084439910634"/>
    <n v="-516.97753878300034"/>
    <n v="-5970.402063278977"/>
    <n v="-0.17694605456497553"/>
    <n v="-2.0434912738196176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166.75107789051"/>
    <n v="6974.2354545454546"/>
    <n v="3842.1276175130001"/>
    <n v="1.3150461520136163"/>
    <n v="30792.109993642"/>
    <n v="40862.731973435999"/>
    <n v="13.986099315778116"/>
    <n v="0.13912728026950716"/>
    <n v="0.15889788359185419"/>
    <n v="0.12747047386636212"/>
    <n v="2906.530687337"/>
    <n v="0.99481911497935305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49295382502105"/>
    <n v="92.571731033999995"/>
    <n v="3.1684553664123379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9376594749505"/>
    <n v="28640.468216843001"/>
    <n v="41165.230426541995"/>
    <n v="14.089635550476279"/>
    <n v="3531.9759842779999"/>
    <n v="1.2088904610971249"/>
    <n v="38488.061955502999"/>
    <n v="13.173320308867806"/>
    <n v="2900.9105957930001"/>
    <n v="0.99289552459021213"/>
    <n v="35217.336271799002"/>
    <n v="12.053848065144892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99493650691295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669557264111394E-2"/>
    <n v="-46.352410415341907"/>
    <n v="-0.10353623469816309"/>
    <n v="793.71332528300002"/>
    <n v="0.27166449377102431"/>
    <n v="653.03030324600002"/>
    <n v="5345.1568394109718"/>
    <n v="8475.4492793879726"/>
    <n v="-0.16585780801482264"/>
    <n v="0.12602903637477936"/>
    <n v="2.6587224728618075E-2"/>
    <n v="93.634679744055362"/>
    <n v="0.22351287435574924"/>
    <n v="1.8294884067715063"/>
    <n v="1231.1982052616979"/>
    <n v="2.9008945227749239"/>
    <n v="371.88996558600002"/>
    <n v="53.32340268833638"/>
    <n v="899.97317169953737"/>
    <n v="0"/>
    <n v="0"/>
    <n v="281.14033766"/>
    <n v="40.311277055718982"/>
    <n v="4332.5099839610002"/>
    <n v="1.4828894691052541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84331709163783"/>
    <n v="-3.0044307574730875"/>
    <n v="140.683022037"/>
    <n v="-5507.2220487899758"/>
    <n v="4.8151619415275099E-2"/>
    <n v="-1.8849585137501741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166.75107789051"/>
    <n v="7176.8442500000001"/>
    <n v="3066.8265546620005"/>
    <n v="1.0496836287317295"/>
    <n v="33858.936548304002"/>
    <n v="40981.721008258995"/>
    <n v="14.026825727795917"/>
    <n v="0.12941601282517912"/>
    <n v="4.0364855261594945E-2"/>
    <n v="0.12140161930295257"/>
    <n v="2085.8314743590004"/>
    <n v="0.7139181534735709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69"/>
    <n v="716.34228370699998"/>
    <n v="559.64048166499992"/>
    <n v="9.2694537131384314E-2"/>
    <n v="-7.502039262922644E-2"/>
    <n v="361.149693082"/>
    <n v="0.12361081189067914"/>
    <n v="157.54816883399999"/>
    <n v="5.3924058180048785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7211592418155"/>
    <n v="32138.322429939002"/>
    <n v="41476.805932824995"/>
    <n v="14.196278590840558"/>
    <n v="3244.0262726510005"/>
    <n v="1.1103338284328443"/>
    <n v="38713.997525615996"/>
    <n v="13.25065134303903"/>
    <n v="2847.4026161720003"/>
    <n v="0.97458133263524349"/>
    <n v="35388.455152586008"/>
    <n v="12.112416974904711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75249579760076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52796368642565"/>
    <n v="-71.888873587811446"/>
    <n v="-0.16945286304464352"/>
    <n v="-34.404001954999899"/>
    <n v="-1.1775467888824874E-2"/>
    <n v="1056.3443942690001"/>
    <n v="6401.5012336799718"/>
    <n v="8733.7462641259735"/>
    <n v="0.32366120314806524"/>
    <n v="0.15447287621995986"/>
    <n v="4.003835527550903E-2"/>
    <n v="147.18786662661657"/>
    <n v="0.36155530715655693"/>
    <n v="2.1910437139280634"/>
    <n v="1262.8443469320812"/>
    <n v="2.9893019078675351"/>
    <n v="792.15984905000005"/>
    <n v="110.37718270812412"/>
    <n v="918.04669337836015"/>
    <n v="46.4"/>
    <n v="6.4652371409620599"/>
    <n v="264.18454521900003"/>
    <n v="36.810683918492451"/>
    <n v="4554.1986073650005"/>
    <n v="1.5587668995747122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908327084298255"/>
    <n v="-3.158754770912179"/>
    <n v="-1090.7483962239999"/>
    <n v="-5903.2888156619756"/>
    <n v="-0.37333077504538176"/>
    <n v="-2.020520402777858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166.75107789051"/>
    <n v="7181.5261904761901"/>
    <n v="3775.9355499580001"/>
    <n v="1.2923905735431718"/>
    <n v="37634.872098262"/>
    <n v="41198.263772826998"/>
    <n v="14.100941883644968"/>
    <n v="0.12213783051296456"/>
    <n v="6.0836995977749053E-2"/>
    <n v="0.11229520036967"/>
    <n v="2798.0153501540003"/>
    <n v="0.95767753853964721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59999"/>
    <n v="12105.975693677003"/>
    <n v="0.13456082985571549"/>
    <n v="-6.6972766672799167E-2"/>
    <n v="703.79041022399997"/>
    <n v="626.50269799099999"/>
    <n v="6.6751185503648891E-2"/>
    <n v="-4.189735470643785E-2"/>
    <n v="248.52893809299999"/>
    <n v="8.5064072888548212E-2"/>
    <n v="263.06961519700002"/>
    <n v="9.0040914726421659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42130801519151"/>
    <n v="35773.499362704999"/>
    <n v="41690.041624308004"/>
    <n v="14.269262833810133"/>
    <n v="3363.7200312509999"/>
    <n v="1.1513014464654965"/>
    <n v="38879.545147150006"/>
    <n v="13.307313376252342"/>
    <n v="2936.797884565"/>
    <n v="1.005178677495052"/>
    <n v="35367.020089730009"/>
    <n v="12.105080389623561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61227689704446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17749339125673E-2"/>
    <n v="-72.338165985201982"/>
    <n v="-0.16832095016516646"/>
    <n v="567.68076387800022"/>
    <n v="0.19430026236170136"/>
    <n v="730.54544868900007"/>
    <n v="7132.0466823689721"/>
    <n v="8979.9165211949712"/>
    <n v="0.50822226515292845"/>
    <n v="0.18289185409360886"/>
    <n v="7.6927009037228933E-2"/>
    <n v="101.7256540340709"/>
    <n v="0.25004400603210303"/>
    <n v="2.4410877199601662"/>
    <n v="1293.9165398984399"/>
    <n v="3.0735586743068382"/>
    <n v="472.066007173"/>
    <n v="65.733382383125232"/>
    <n v="938.25601376110455"/>
    <n v="121.667343649"/>
    <n v="16.941711332940571"/>
    <n v="258.47944151600007"/>
    <n v="35.992271650945675"/>
    <n v="4365.7223814549998"/>
    <n v="1.4942570861840179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86651264084635"/>
    <n v="-3.2418796244720047"/>
    <n v="-162.86468481099985"/>
    <n v="-5959.1693152559747"/>
    <n v="-5.5743743670401684E-2"/>
    <n v="-2.0396466378432239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166.75107789051"/>
    <n v="7238.6619999999984"/>
    <n v="3486.9852153719994"/>
    <n v="1.1934914573638062"/>
    <n v="41121.857313633998"/>
    <n v="41121.857313633998"/>
    <n v="14.074790222338157"/>
    <n v="0.10834794757965471"/>
    <n v="-2.1442060309670552E-2"/>
    <n v="0.10834794757965471"/>
    <n v="2208.6963590349997"/>
    <n v="0.75597115376286261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23"/>
    <n v="1.764035687609633E-3"/>
    <n v="727.22862849499995"/>
    <n v="580.39126983300002"/>
    <n v="6.286243980341677E-2"/>
    <n v="-1.8683949822676404E-2"/>
    <n v="277.54207838399998"/>
    <n v="9.499440896681921E-2"/>
    <n v="232.55835453099999"/>
    <n v="7.95978165458672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9040298060510459"/>
    <n v="41336.441386598999"/>
    <n v="41336.441386598999"/>
    <n v="14.148235976234977"/>
    <n v="5296.9841300970011"/>
    <n v="1.8130003193569573"/>
    <n v="38688.582068120006"/>
    <n v="13.241952386911329"/>
    <n v="5143.8016275860009"/>
    <n v="1.7605704990759485"/>
    <n v="35074.987462761004"/>
    <n v="12.005126296321839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429820281008684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1053834868723986"/>
    <n v="-13.863146259827602"/>
    <n v="-7.3445753896820468E-2"/>
    <n v="-1922.7743060110017"/>
    <n v="-0.65810852840623113"/>
    <n v="1247.3256469080002"/>
    <n v="8379.3723292769719"/>
    <n v="8379.3723292769719"/>
    <n v="-0.32499269120575136"/>
    <n v="6.3749974094536421E-2"/>
    <n v="6.3749974094536421E-2"/>
    <n v="172.31439275766715"/>
    <n v="0.42692251678407722"/>
    <n v="2.8680102367442433"/>
    <n v="1195.1050843475766"/>
    <n v="2.8680102367442433"/>
    <n v="661.92568242599998"/>
    <n v="91.443098520969784"/>
    <n v="829.66059465201442"/>
    <n v="0"/>
    <n v="0"/>
    <n v="585.3999644820002"/>
    <n v="80.871294236697381"/>
    <n v="6810.2676708020008"/>
    <n v="2.330952322835123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7460865471317"/>
    <n v="-2.9414559906410642"/>
    <n v="-3170.0999529190017"/>
    <n v="-4980.3617968829767"/>
    <n v="-1.0850310451903082"/>
    <n v="-1.7046299000515741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445.33407677943"/>
    <n v="7373.170681818181"/>
    <n v="3160.2397387120004"/>
    <n v="1.0050203950364076"/>
    <n v="3160.2397387120004"/>
    <n v="41327.270772452997"/>
    <n v="13.142911118013901"/>
    <n v="6.9517947710427963E-2"/>
    <n v="6.9517947710427963E-2"/>
    <n v="0.11618148521496563"/>
    <n v="2313.7939413660006"/>
    <n v="0.73583344722203181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200005"/>
    <n v="11963.134540492001"/>
    <n v="7.0642444430847551E-2"/>
    <n v="-0.14223301202825844"/>
    <n v="892.85867844399991"/>
    <n v="476.38503879000001"/>
    <n v="0.10442101556820638"/>
    <n v="-9.4731291563238673E-2"/>
    <n v="263.25957322299996"/>
    <n v="8.3721888892369062E-2"/>
    <n v="91.270490181999989"/>
    <n v="2.9025868820719756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591070840504924"/>
    <n v="3100.1502207429999"/>
    <n v="41969.121587536007"/>
    <n v="13.347032707850017"/>
    <n v="2972.7567628829997"/>
    <n v="0.94539700250636549"/>
    <n v="39197.617703605007"/>
    <n v="12.465638206618756"/>
    <n v="2678.5949338599999"/>
    <n v="0.8518475689023759"/>
    <n v="35437.712692139998"/>
    <n v="11.269912080643889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49433603989582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0968663135839E-2"/>
    <n v="-75.465664395214375"/>
    <n v="-0.20412158983611428"/>
    <n v="354.25134699200055"/>
    <n v="0.11265912023534798"/>
    <n v="360.286152238"/>
    <n v="360.286152238"/>
    <n v="8589.2474462449736"/>
    <n v="1.3953438761408505"/>
    <n v="1.3953438761408505"/>
    <n v="0.11891441601601471"/>
    <n v="48.864480124737263"/>
    <n v="0.11457831082016547"/>
    <n v="0.11457831082016547"/>
    <n v="1222.4421683268827"/>
    <n v="2.731555063923353"/>
    <n v="319.86005540600001"/>
    <n v="43.381615482570702"/>
    <n v="855.27072588603892"/>
    <n v="51.664655070999999"/>
    <n v="7.0071150256160619"/>
    <n v="40.426096831999985"/>
    <n v="5.4828646421665557"/>
    <n v="3460.4363729809997"/>
    <n v="1.1004890192252146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468624188807069E-2"/>
    <n v="-2.9356766537594678"/>
    <n v="-6.0348052459994506"/>
    <n v="-5471.1932498629758"/>
    <n v="-1.9191905848174892E-3"/>
    <n v="-1.739950527784601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445.33407677943"/>
    <n v="7292.0576315789476"/>
    <n v="2725.3689210520001"/>
    <n v="0.86672264641921359"/>
    <n v="5885.6086597640005"/>
    <n v="41033.59822876101"/>
    <n v="13.04951728707848"/>
    <n v="-1.4774194650062911E-2"/>
    <n v="-9.7273438315264138E-2"/>
    <n v="0.10340210325169341"/>
    <n v="1882.3280705669999"/>
    <n v="0.59861854083272359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400004"/>
    <n v="11851.853563281002"/>
    <n v="4.5739884731054392E-2"/>
    <n v="-0.11541128595557026"/>
    <n v="744.13340852600004"/>
    <n v="472.72224970599996"/>
    <n v="0.11857545100277211"/>
    <n v="-4.9506000932807437E-2"/>
    <n v="272.435079202"/>
    <n v="8.6639886071732397E-2"/>
    <n v="165.24954907400002"/>
    <n v="5.2552711446387797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37602903676615"/>
    <n v="6319.3166859350004"/>
    <n v="42279.835645444007"/>
    <n v="13.44584608627723"/>
    <n v="3069.2396354269999"/>
    <n v="0.97608051473823776"/>
    <n v="39494.368792817004"/>
    <n v="12.560011077529138"/>
    <n v="3028.7358025949998"/>
    <n v="0.9631994736024484"/>
    <n v="35949.824435814997"/>
    <n v="11.432774011853194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1041135789285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03764394844774"/>
    <n v="-159.05804132190755"/>
    <n v="-0.39632879919875175"/>
    <n v="-453.2937113079999"/>
    <n v="-0.14415660281265846"/>
    <n v="535.47513248199994"/>
    <n v="895.76128471999994"/>
    <n v="8420.3949454869726"/>
    <n v="-0.2397357320502338"/>
    <n v="4.7994337592695668E-2"/>
    <n v="3.6501611462896877E-2"/>
    <n v="73.432652282268592"/>
    <n v="0.17029196316560727"/>
    <n v="0.28487027398577275"/>
    <n v="1194.7676810551238"/>
    <n v="2.6778565406955375"/>
    <n v="484.16051696599999"/>
    <n v="66.395596610385653"/>
    <n v="826.45494089268846"/>
    <n v="0"/>
    <n v="0"/>
    <n v="51.314615515999947"/>
    <n v="7.0370556718829445"/>
    <n v="3754.641597674"/>
    <n v="1.1940522535332687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32960711405501"/>
    <n v="-3.07418533989429"/>
    <n v="-988.76884378999989"/>
    <n v="-6122.088005167976"/>
    <n v="-0.31444856597826576"/>
    <n v="-1.9469482742183482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445.33407677943"/>
    <n v="7184.7078260869566"/>
    <n v="3663.6910619100004"/>
    <n v="1.1651281367130804"/>
    <n v="9549.2997216740005"/>
    <n v="41431.88683944301"/>
    <n v="13.176181151196989"/>
    <n v="3.3555629312340463E-2"/>
    <n v="0.12197228875485733"/>
    <n v="9.8464250976300516E-2"/>
    <n v="2541.6816199550003"/>
    <n v="0.80830635551246166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07672422938862"/>
    <n v="179.154591735"/>
    <n v="5.6974797308092691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2673679469433"/>
    <n v="10653.214115547002"/>
    <n v="42707.190716779005"/>
    <n v="13.581753674980915"/>
    <n v="3992.5557868650003"/>
    <n v="1.269713795749986"/>
    <n v="39970.797097813003"/>
    <n v="12.711524950805334"/>
    <n v="3207.8848974200005"/>
    <n v="1.0201725227815648"/>
    <n v="36198.319977865001"/>
    <n v="11.511800639098148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54127296842113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13923123386305"/>
    <n v="-160.26152992475892"/>
    <n v="-0.40557252378392972"/>
    <n v="114.46452174299986"/>
    <n v="3.6402041734558091E-2"/>
    <n v="615.89220963100001"/>
    <n v="1511.6534943510001"/>
    <n v="8253.577307148973"/>
    <n v="-0.21312832433482654"/>
    <n v="-7.682380292389035E-2"/>
    <n v="-1.2399693287412861E-2"/>
    <n v="85.722652129952579"/>
    <n v="0.19586622629948613"/>
    <n v="0.48073650028525888"/>
    <n v="1168.079572261719"/>
    <n v="2.6248051450283763"/>
    <n v="513.56038788399997"/>
    <n v="71.47964820772718"/>
    <n v="802.24414003294692"/>
    <n v="138.82846017199998"/>
    <n v="19.322770463668366"/>
    <n v="102.33182174700005"/>
    <n v="14.2430039222254"/>
    <n v="4949.7896392430002"/>
    <n v="1.5741335942464292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00545753334916"/>
    <n v="-3.0303776688123065"/>
    <n v="-501.42768788800015"/>
    <n v="-5756.404064536976"/>
    <n v="-0.15946418456492806"/>
    <n v="-1.8306533571051209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445.33407677943"/>
    <n v="7173.0261111111104"/>
    <n v="3757.1571939859996"/>
    <n v="1.1948522642312762"/>
    <n v="13306.456915660001"/>
    <n v="41232.919674003999"/>
    <n v="13.1129055532228"/>
    <n v="8.4167517617330656E-3"/>
    <n v="-5.0293455756764693E-2"/>
    <n v="6.9894015276731336E-2"/>
    <n v="2929.0321687449996"/>
    <n v="0.93149169388845354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299988"/>
    <n v="11885.005912825"/>
    <n v="2.3720738316167944E-2"/>
    <n v="-8.7192194190500838E-2"/>
    <n v="885.69334183100011"/>
    <n v="447.96588749900002"/>
    <n v="0.23037984162324521"/>
    <n v="-9.5926347233181386E-2"/>
    <n v="271.37227278199998"/>
    <n v="8.6301892053433318E-2"/>
    <n v="109.46923441599999"/>
    <n v="3.48134389519262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59329531997627"/>
    <n v="14539.547619201001"/>
    <n v="43396.025695812998"/>
    <n v="13.800817182810162"/>
    <n v="3693.7406979529997"/>
    <n v="1.1746845310323746"/>
    <n v="40700.027800254"/>
    <n v="12.943435118778421"/>
    <n v="3248.3596990299998"/>
    <n v="1.0330443313993758"/>
    <n v="36833.930378629004"/>
    <n v="11.713937650490024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640199632998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080688968486531E-2"/>
    <n v="-288.98710879564743"/>
    <n v="-0.68791162958736385"/>
    <n v="316.20468925499989"/>
    <n v="0.10055951066451216"/>
    <n v="886.91010285099992"/>
    <n v="2398.563597202"/>
    <n v="8504.9420276649726"/>
    <n v="0.39551026174162995"/>
    <n v="5.524418629258987E-2"/>
    <n v="1.0012132223562897E-2"/>
    <n v="123.64517974877641"/>
    <n v="0.28205541845770854"/>
    <n v="0.76279191874296748"/>
    <n v="1198.970659013346"/>
    <n v="2.7047442292746138"/>
    <n v="794.04577485999994"/>
    <n v="110.69885464797245"/>
    <n v="849.77867212354715"/>
    <n v="23.893411927000002"/>
    <n v="3.3310086366462262"/>
    <n v="92.864327990999982"/>
    <n v="12.946325100803961"/>
    <n v="4773.2436065049997"/>
    <n v="1.5179883716574714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13610742619508"/>
    <n v="-3.392655858861978"/>
    <n v="-570.70541359599997"/>
    <n v="-6801.9506278489762"/>
    <n v="-0.18149590779319638"/>
    <n v="-2.1631583905735789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445.33407677943"/>
    <n v="7207.7045238095252"/>
    <n v="4261.0299709129995"/>
    <n v="1.3550940367499829"/>
    <n v="17567.486886573002"/>
    <n v="41394.628839571"/>
    <n v="13.164332350838286"/>
    <n v="1.5771958095236904E-2"/>
    <n v="3.9447794706896966E-2"/>
    <n v="5.1000832380441175E-2"/>
    <n v="3323.9881686999997"/>
    <n v="1.0570957201382316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5999"/>
    <n v="2.2155690974571485E-2"/>
    <n v="0.1209097456271333"/>
    <n v="792.16053470700001"/>
    <n v="579.83568485399996"/>
    <n v="0.19336018764450147"/>
    <n v="6.8319969825908045E-2"/>
    <n v="317.96261760700003"/>
    <n v="0.10111856756931929"/>
    <n v="153.70041273300001"/>
    <n v="4.8879851623261909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0415337610083"/>
    <n v="18284.722149029003"/>
    <n v="44084.455875520005"/>
    <n v="14.01975195623533"/>
    <n v="3535.1628177450002"/>
    <n v="1.1242535457313558"/>
    <n v="41355.826507001009"/>
    <n v="13.151992421329103"/>
    <n v="2950.0368438270002"/>
    <n v="0.93817160699439017"/>
    <n v="37120.070865730006"/>
    <n v="11.804936134516227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08193873696574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05250298897445"/>
    <n v="-369.55582741610658"/>
    <n v="-0.85541960539704409"/>
    <n v="1100.9814150029993"/>
    <n v="0.35013444172594022"/>
    <n v="363.67095662999998"/>
    <n v="2762.2345538320001"/>
    <n v="8422.4469063949728"/>
    <n v="-0.18489778886437391"/>
    <n v="1.5841133837978472E-2"/>
    <n v="3.5024420468610096E-4"/>
    <n v="50.45586364267151"/>
    <n v="0.11565474733398362"/>
    <n v="0.8784466660769511"/>
    <n v="1184.3194153582931"/>
    <n v="2.6785091059225032"/>
    <n v="219.65835102299999"/>
    <n v="30.475493313771807"/>
    <n v="836.56633832215175"/>
    <n v="0"/>
    <n v="0"/>
    <n v="144.01260560699998"/>
    <n v="19.980370328899699"/>
    <n v="4108.8454864579999"/>
    <n v="1.3066962810949918"/>
    <n v="152.18448445499928"/>
    <n v="-3479.4698162879999"/>
    <n v="-11112.273942343976"/>
    <n v="21.114140285895687"/>
    <n v="-1553.8752427743996"/>
    <n v="-0.74483260144202679"/>
    <n v="2.6201025607462256"/>
    <n v="0.19347390726383518"/>
    <n v="4.8397755654990819E-2"/>
    <n v="-3.5339287113195472"/>
    <n v="737.31045837299928"/>
    <n v="-6876.5183010729761"/>
    <n v="0.23447969439195659"/>
    <n v="-2.1868724245066735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445.33407677943"/>
    <n v="7251.6616666666669"/>
    <n v="3561.1343769650002"/>
    <n v="1.1325130288291902"/>
    <n v="21128.621263538003"/>
    <n v="41952.915905579997"/>
    <n v="13.341878971985693"/>
    <n v="4.0943762824742214E-2"/>
    <n v="0.18591923204755356"/>
    <n v="6.2065289297391191E-2"/>
    <n v="2437.9879743860001"/>
    <n v="0.7753296710679467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89997"/>
    <n v="12132.478440486997"/>
    <n v="1.7361765033074628E-2"/>
    <n v="0.14027837291786338"/>
    <n v="843.67365939499996"/>
    <n v="616.08605587900001"/>
    <n v="0.25150116205495809"/>
    <n v="0.15033580308772199"/>
    <n v="318.8615216"/>
    <n v="0.10140443728834031"/>
    <n v="142.31884875599999"/>
    <n v="4.5260283213885887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06566224118274"/>
    <n v="21557.018341964002"/>
    <n v="44381.575511882998"/>
    <n v="14.114242032621849"/>
    <n v="3101.5880139799992"/>
    <n v="0.98636795584401049"/>
    <n v="41678.058020304001"/>
    <n v="13.254468584395434"/>
    <n v="2850.1867379299993"/>
    <n v="0.90641724619582276"/>
    <n v="37298.717024691003"/>
    <n v="11.861749239880156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5070964818779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856406417362813E-2"/>
    <n v="-333.75995523376588"/>
    <n v="-0.77236306063615701"/>
    <n v="540.23946008000075"/>
    <n v="0.17180711606555057"/>
    <n v="332.22961023699997"/>
    <n v="3094.4641640690002"/>
    <n v="8009.0863417629989"/>
    <n v="-0.55440720460756521"/>
    <n v="-0.10687234903353593"/>
    <n v="-6.4623147402826264E-2"/>
    <n v="45.814273404969022"/>
    <n v="0.10565576086935292"/>
    <n v="0.98410242694630412"/>
    <n v="1121.4171470468361"/>
    <n v="2.5470520544621555"/>
    <n v="223.802180569"/>
    <n v="30.86219281268178"/>
    <n v="788.64383952377477"/>
    <n v="0"/>
    <n v="0"/>
    <n v="108.42742966799997"/>
    <n v="14.952080592287235"/>
    <n v="3604.5258031719995"/>
    <n v="1.1463123832811803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799354451990098E-2"/>
    <n v="-3.3194151150983129"/>
    <n v="208.00984984300081"/>
    <n v="-6058.4049524530019"/>
    <n v="6.6151355196197692E-2"/>
    <n v="-1.9266957705830343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445.33407677943"/>
    <n v="7272.6780952380959"/>
    <n v="4099.5153899520001"/>
    <n v="1.3037291209895976"/>
    <n v="25228.136653490004"/>
    <n v="42420.270778136"/>
    <n v="13.49050730954019"/>
    <n v="5.425944354841139E-2"/>
    <n v="0.12867131568597645"/>
    <n v="6.1468024194655468E-2"/>
    <n v="2962.2021577759997"/>
    <n v="0.94204042380629083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"/>
    <n v="12242.547490274997"/>
    <n v="1.4190620379119556E-2"/>
    <n v="0.10944053684699218"/>
    <n v="805.53456944600009"/>
    <n v="641.60051124999995"/>
    <n v="0.2068293897348672"/>
    <n v="5.871280501639653E-2"/>
    <n v="372.56672262200004"/>
    <n v="0.1184837815182937"/>
    <n v="102.59623418500001"/>
    <n v="3.2627685345125411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1364968428611"/>
    <n v="25261.613585342002"/>
    <n v="44814.533296123991"/>
    <n v="14.251931397774037"/>
    <n v="3351.3208788680004"/>
    <n v="1.0657880768711596"/>
    <n v="42182.589218763991"/>
    <n v="13.414919748328686"/>
    <n v="3230.3642942770002"/>
    <n v="1.0273214273512574"/>
    <n v="37791.815184501007"/>
    <n v="12.018564465413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66649519902092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59262414673658"/>
    <n v="-331.94831425324514"/>
    <n v="-0.76142408823384999"/>
    <n v="515.8767311649998"/>
    <n v="0.16405927366663867"/>
    <n v="602.87989839299996"/>
    <n v="3697.3440624620002"/>
    <n v="8005.1386765069992"/>
    <n v="-6.505415199437814E-3"/>
    <n v="-9.1913670558207872E-2"/>
    <n v="-5.8099252070342944E-2"/>
    <n v="82.896546567590477"/>
    <n v="0.19172804715422881"/>
    <n v="1.175830474100533"/>
    <n v="1115.9628167902531"/>
    <n v="2.5457966167665731"/>
    <n v="391.12075466499999"/>
    <n v="53.779467418074326"/>
    <n v="785.53494917084299"/>
    <n v="0"/>
    <n v="0"/>
    <n v="211.75914372799997"/>
    <n v="29.117079149516147"/>
    <n v="4307.4751417710004"/>
    <n v="1.369864543997089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35423007492228E-2"/>
    <n v="-3.3072207050004234"/>
    <n v="-87.00316722800018"/>
    <n v="-6008.6271602320012"/>
    <n v="-2.7668773487590136E-2"/>
    <n v="-1.9108654220847332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445.33407677943"/>
    <n v="7273.1797727272724"/>
    <n v="3355.974272125"/>
    <n v="1.0672679503985127"/>
    <n v="28584.110925615005"/>
    <n v="42755.985863119997"/>
    <n v="13.597271522140025"/>
    <n v="6.0635607351396281E-2"/>
    <n v="0.1111543957595873"/>
    <n v="5.9997437459831549E-2"/>
    <n v="2441.3896434349999"/>
    <n v="0.77641147088507145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79998"/>
    <n v="12283.092612935998"/>
    <n v="8.9417746743469806E-4"/>
    <n v="3.6063834046869747E-2"/>
    <n v="830.50980867399994"/>
    <n v="676.74586760799991"/>
    <n v="0.26445055563362097"/>
    <n v="5.4632357294681855E-2"/>
    <n v="291.96675732400001"/>
    <n v="9.2851356240099048E-2"/>
    <n v="48.431582518999996"/>
    <n v="1.5402226482767352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29653440735972"/>
    <n v="28761.281179673002"/>
    <n v="45136.734030143998"/>
    <n v="14.354397772403511"/>
    <n v="3310.0002473730001"/>
    <n v="1.0526472771781641"/>
    <n v="42463.071259370998"/>
    <n v="13.504118731493916"/>
    <n v="3027.6640860420002"/>
    <n v="0.96285864598096504"/>
    <n v="38050.740019097"/>
    <n v="12.100907819419572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78863119719907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697393675084387E-2"/>
    <n v="-328.83659080227943"/>
    <n v="-0.75712625026348279"/>
    <n v="138.64283912499985"/>
    <n v="4.4091237522114683E-2"/>
    <n v="349.55572974400008"/>
    <n v="4046.8997922060003"/>
    <n v="7734.1455853179996"/>
    <n v="-0.4366990670960581"/>
    <n v="-0.13751264783373396"/>
    <n v="-0.10123416162081356"/>
    <n v="48.060922549275148"/>
    <n v="0.11116581862163921"/>
    <n v="1.2869962927221721"/>
    <n v="1073.7551636126511"/>
    <n v="2.4596153121577311"/>
    <n v="201.623474558"/>
    <n v="27.721502954463052"/>
    <n v="755.67143774820249"/>
    <n v="53.157420969999997"/>
    <n v="7.3086906457788832"/>
    <n v="147.93225518600008"/>
    <n v="20.339419594812096"/>
    <n v="3849.2233240750002"/>
    <n v="1.2241311626952363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86321229672359"/>
    <n v="-3.2167415624212139"/>
    <n v="-210.91289061900022"/>
    <n v="-5702.5625120680006"/>
    <n v="-6.7074581099524522E-2"/>
    <n v="-1.8135306503468684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445.33407677943"/>
    <n v="7276.0522500000006"/>
    <n v="3923.9104503730005"/>
    <n v="1.2478831851309591"/>
    <n v="32508.021375988006"/>
    <n v="42837.768695979998"/>
    <n v="13.623280123317116"/>
    <n v="5.5725683712493534E-2"/>
    <n v="2.1285818952817115E-2"/>
    <n v="4.8333447793650341E-2"/>
    <n v="2996.6677465180005"/>
    <n v="0.95300118073505624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775340673927009E-2"/>
    <n v="176.13556780499999"/>
    <n v="5.6014686407142626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06645377822657"/>
    <n v="32914.049197536006"/>
    <n v="45610.022367291996"/>
    <n v="14.504913072157466"/>
    <n v="3915.3432003879998"/>
    <n v="1.2451586257062965"/>
    <n v="42846.438475480994"/>
    <n v="13.626037289209386"/>
    <n v="3003.2935539629998"/>
    <n v="0.95510832201748408"/>
    <n v="38153.122977266998"/>
    <n v="12.133467678662068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05030368881263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781352651306405E-2"/>
    <n v="-383.61138317888106"/>
    <n v="-0.88163294884035015"/>
    <n v="683.19207893500072"/>
    <n v="0.21726895103750618"/>
    <n v="264.53358075799997"/>
    <n v="4311.4333729640002"/>
    <n v="7345.6488628299994"/>
    <n v="-0.59491377437909065"/>
    <n v="-0.19339441245673272"/>
    <n v="-0.13330271697874618"/>
    <n v="36.356745618202503"/>
    <n v="8.4127049152972228E-2"/>
    <n v="1.3711233418751443"/>
    <n v="1016.4772294867981"/>
    <n v="2.3360654672765415"/>
    <n v="172.231686454"/>
    <n v="23.671034860146861"/>
    <n v="726.01906992001295"/>
    <n v="0"/>
    <n v="0"/>
    <n v="92.301894303999973"/>
    <n v="12.685710758055643"/>
    <n v="4417.3015986209994"/>
    <n v="1.4047915869352376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0840180427865"/>
    <n v="-3.2176984161168924"/>
    <n v="418.65849817700075"/>
    <n v="-5424.5870359279998"/>
    <n v="0.13314190188453398"/>
    <n v="-1.7251288055695733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445.33407677943"/>
    <n v="7384.8424999999988"/>
    <n v="3443.18931028"/>
    <n v="1.0950041031422213"/>
    <n v="35951.210686268008"/>
    <n v="43214.131451597998"/>
    <n v="13.742971120393927"/>
    <n v="6.1793852709435049E-2"/>
    <n v="0.12272058719651957"/>
    <n v="5.4473320993257079E-2"/>
    <n v="2436.6934816090002"/>
    <n v="0.77491799608450307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70001"/>
    <n v="12527.447761294998"/>
    <n v="2.8286041891755653E-2"/>
    <n v="0.21848358398002365"/>
    <n v="825.56127366299995"/>
    <n v="675.59632584899998"/>
    <n v="0.15246760164819895"/>
    <n v="0.20719702734694434"/>
    <n v="328.83504779600003"/>
    <n v="0.10457622109784812"/>
    <n v="101.52181302599999"/>
    <n v="3.2285997604025819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2774886672881"/>
    <n v="36691.410209965004"/>
    <n v="45889.529166624998"/>
    <n v="14.593801908798545"/>
    <n v="3528.0669698510001"/>
    <n v="1.1219969220435426"/>
    <n v="43130.479172681"/>
    <n v="13.716367997417844"/>
    <n v="3041.7202679510001"/>
    <n v="0.96732879719191212"/>
    <n v="38347.440629046003"/>
    <n v="12.195264636899509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66812485163053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27338552506689"/>
    <n v="-368.80430546293633"/>
    <n v="-0.85083078840461923"/>
    <n v="152.17499975099963"/>
    <n v="4.839473932656365E-2"/>
    <n v="658.11103892300002"/>
    <n v="4969.544411887"/>
    <n v="6947.415507484"/>
    <n v="-0.37699197109062255"/>
    <n v="-0.22369078275874921"/>
    <n v="-0.20453201897785378"/>
    <n v="89.116462392122799"/>
    <n v="0.20929267112683769"/>
    <n v="1.580416013001982"/>
    <n v="958.40582525230434"/>
    <n v="2.2094191754766572"/>
    <n v="508.53951208899997"/>
    <n v="68.862607711538871"/>
    <n v="684.50449492342761"/>
    <n v="56.376991611999998"/>
    <n v="7.634149490933626"/>
    <n v="149.57152683400005"/>
    <n v="20.25385468058392"/>
    <n v="4435.4720513520006"/>
    <n v="1.4105701597941258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56605665190457"/>
    <n v="-3.0602499638812763"/>
    <n v="-505.93603917200039"/>
    <n v="-4839.7746788759996"/>
    <n v="-0.16089793180027401"/>
    <n v="-1.53914660336294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445.33407677943"/>
    <n v="7442.1713636363629"/>
    <n v="3941.2542054360001"/>
    <n v="1.2533988513480845"/>
    <n v="39892.46489170401"/>
    <n v="43379.450107076009"/>
    <n v="13.795545809079766"/>
    <n v="5.9986726872555796E-2"/>
    <n v="4.3782170879436366E-2"/>
    <n v="5.2943647001154615E-2"/>
    <n v="2988.6901219080005"/>
    <n v="0.9504641341500204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10096E-2"/>
    <n v="870.68782844700002"/>
    <n v="654.85109458499994"/>
    <n v="0.23714079617805606"/>
    <n v="4.5248642479760237E-2"/>
    <n v="263.01918017399998"/>
    <n v="8.3645439022408105E-2"/>
    <n v="200.22263622700001"/>
    <n v="6.3674863172913487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29190380706134"/>
    <n v="40505.377531307007"/>
    <n v="46068.319555201"/>
    <n v="14.650660882108147"/>
    <n v="3580.1635301589999"/>
    <n v="1.1385646858683602"/>
    <n v="43346.922671589004"/>
    <n v="13.785201424233822"/>
    <n v="2920.9666830830001"/>
    <n v="0.92892670570515623"/>
    <n v="38331.609427564006"/>
    <n v="12.190229993428497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63798016320417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479813277470938E-2"/>
    <n v="-371.30094295350278"/>
    <n v="-0.85511507302838496"/>
    <n v="786.48373116999994"/>
    <n v="0.25011779344067508"/>
    <n v="928.61867993700002"/>
    <n v="5898.1630918239998"/>
    <n v="7145.4887387320005"/>
    <n v="0.27113060741594119"/>
    <n v="-0.17300554041454019"/>
    <n v="-0.20428116209468516"/>
    <n v="124.77792227069362"/>
    <n v="0.29531959272458319"/>
    <n v="1.8757356057265651"/>
    <n v="981.45809348892703"/>
    <n v="2.2724104842297503"/>
    <n v="764.22461120000003"/>
    <n v="102.68839211820941"/>
    <n v="721.45950465851183"/>
    <n v="39.385495341000002"/>
    <n v="5.2922048440652443"/>
    <n v="164.394068737"/>
    <n v="22.089530152484212"/>
    <n v="4742.5860012789999"/>
    <n v="1.5082386307951965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83977944711228"/>
    <n v="-3.1275255572581351"/>
    <n v="-142.13494876700008"/>
    <n v="-4819.0449428320007"/>
    <n v="-4.5201799283908092E-2"/>
    <n v="-1.532554126452808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445.33407677943"/>
    <n v="7335.2122222222233"/>
    <n v="4049.554153309"/>
    <n v="1.2878404334408737"/>
    <n v="43942.01904501301"/>
    <n v="43942.01904501301"/>
    <n v="13.974454152429402"/>
    <n v="6.8580602035307026E-2"/>
    <n v="0.16133390398587744"/>
    <n v="6.8580602035307026E-2"/>
    <n v="2495.1373023790002"/>
    <n v="0.79350431759618734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30001"/>
    <n v="12694.032624034999"/>
    <n v="4.840571245066938E-2"/>
    <n v="7.2813550882546263E-2"/>
    <n v="889.86952914400001"/>
    <n v="642.95602587100007"/>
    <n v="0.22364479927802838"/>
    <n v="0.10779754846416312"/>
    <n v="305.42514575299998"/>
    <n v="9.7131396988203694E-2"/>
    <n v="340.06244851899999"/>
    <n v="0.10814676246268151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4243865064808"/>
    <n v="48505.63365253801"/>
    <n v="48505.63365253801"/>
    <n v="15.425776246593689"/>
    <n v="7401.6400526560001"/>
    <n v="2.3538718023555441"/>
    <n v="45451.578594148006"/>
    <n v="14.454524735625398"/>
    <n v="7046.4681989370001"/>
    <n v="2.2409199422931918"/>
    <n v="40234.275998915"/>
    <n v="12.795316590415945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295186006235226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64034316239341"/>
    <n v="-623.10766912893587"/>
    <n v="-1.4513220941642857"/>
    <n v="-3595.5301142030003"/>
    <n v="-1.1434515715615818"/>
    <n v="2366.272428498"/>
    <n v="8264.4355203220002"/>
    <n v="8264.4355203220002"/>
    <n v="0.89707670516016469"/>
    <n v="-1.371663705089099E-2"/>
    <n v="-1.371663705089099E-2"/>
    <n v="322.59086128814567"/>
    <n v="0.75252267153063157"/>
    <n v="2.6282582772571965"/>
    <n v="1131.7345620194055"/>
    <n v="2.6282582772571965"/>
    <n v="2063.108162004"/>
    <n v="281.26086873857014"/>
    <n v="911.27727487611219"/>
    <n v="109.6873103775232"/>
    <n v="14.953529230582115"/>
    <n v="303.164266494"/>
    <n v="41.32999254957555"/>
    <n v="10366.528549729001"/>
    <n v="3.2967665365954391"/>
    <n v="-6316.9743964200006"/>
    <n v="-12828.050127847"/>
    <n v="-12828.050127847"/>
    <n v="-861.18495348812905"/>
    <n v="-1754.8422311483414"/>
    <n v="0.90082380331485945"/>
    <n v="0.49268270950274329"/>
    <n v="0.49268270950274329"/>
    <n v="-2.0089261031545655"/>
    <n v="-4.0795803714214829"/>
    <n v="-5961.8025427010007"/>
    <n v="-7610.7475326140002"/>
    <n v="-1.8959742430922133"/>
    <n v="-2.42037222621203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8236.55117402837"/>
    <n v="7282.9988636363632"/>
    <n v="3804.6259361790007"/>
    <n v="1.1248417484665805"/>
    <n v="3804.6259361790007"/>
    <n v="44586.405242480003"/>
    <n v="13.182018645743449"/>
    <n v="0.20390421320682117"/>
    <n v="0.20390421320682117"/>
    <n v="7.8861594513988775E-2"/>
    <n v="2901.7446344780005"/>
    <n v="0.85790392091155288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178"/>
    <n v="1083.7891622949999"/>
    <n v="613.07240288499997"/>
    <n v="0.21384177413578787"/>
    <n v="0.28692623186106081"/>
    <n v="307.65857778899999"/>
    <n v="9.0959589293678825E-2"/>
    <n v="81.670096715"/>
    <n v="2.414585189906911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2848535702257708"/>
    <n v="2802.2402985750005"/>
    <n v="48207.723730370009"/>
    <n v="14.252665350045604"/>
    <n v="2674.2446948890006"/>
    <n v="0.79064331918198194"/>
    <n v="45153.066526154005"/>
    <n v="13.349552663491416"/>
    <n v="2611.5491690860008"/>
    <n v="0.77210731957301537"/>
    <n v="40167.230234141003"/>
    <n v="11.875484803377827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535999608966593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635639144400339"/>
    <n v="-493.62378270876468"/>
    <n v="-1.070646704302153"/>
    <n v="1065.0811634070003"/>
    <n v="0.31489239105297001"/>
    <n v="37.041825209999999"/>
    <n v="37.041825209999999"/>
    <n v="7941.1911932939993"/>
    <n v="-0.89718776317128424"/>
    <n v="-0.89718776317128424"/>
    <n v="-7.5449712795768842E-2"/>
    <n v="5.0860676904603013"/>
    <n v="1.0951455447800306E-2"/>
    <n v="1.0951455447800306E-2"/>
    <n v="1087.9561495851285"/>
    <n v="2.3478217140429991"/>
    <n v="0"/>
    <n v="0"/>
    <n v="867.89565939354156"/>
    <n v="0"/>
    <n v="0"/>
    <n v="37.041825209999999"/>
    <n v="5.0860676904603013"/>
    <n v="2839.2821237850003"/>
    <n v="0.83943681247037727"/>
    <n v="965.34381239400034"/>
    <n v="965.34381239400034"/>
    <n v="-11562.509681184001"/>
    <n v="132.54757147003167"/>
    <n v="-1581.5799322938935"/>
    <n v="-4.2157049819851657"/>
    <n v="-4.2157049819851657"/>
    <n v="0.2525605679687164"/>
    <n v="0.28540493599620309"/>
    <n v="-3.418468418345153"/>
    <n v="1028.0393381970002"/>
    <n v="-6576.673389171001"/>
    <n v="0.3039409356051696"/>
    <n v="-1.9444005582315651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8236.55117402837"/>
    <n v="7285.0480952380958"/>
    <n v="3209.7257207530001"/>
    <n v="0.9489588601858534"/>
    <n v="7014.3516569320009"/>
    <n v="45070.762042180999"/>
    <n v="13.325219254317473"/>
    <n v="0.19178016453667168"/>
    <n v="0.17772155393701228"/>
    <n v="9.8386785163536716E-2"/>
    <n v="2370.0602069780002"/>
    <n v="0.70071084829580244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69999"/>
    <n v="13231.804502253999"/>
    <n v="0.11643334366265834"/>
    <n v="0.26595070915221086"/>
    <n v="919.92736212099999"/>
    <n v="562.54143994399999"/>
    <n v="0.23623983492854794"/>
    <n v="0.19000415210805333"/>
    <n v="270.59006107299996"/>
    <n v="8.0000242473432986E-2"/>
    <n v="101.03874689"/>
    <n v="2.9872214146960677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238742777113817"/>
    <n v="6603.5938950380005"/>
    <n v="48789.910861641001"/>
    <n v="14.424789601327792"/>
    <n v="3609.0172354829997"/>
    <n v="1.0670098258026821"/>
    <n v="45692.844126209995"/>
    <n v="13.509138491274486"/>
    <n v="3084.7871149109997"/>
    <n v="0.91202062704448073"/>
    <n v="40223.281546456994"/>
    <n v="11.892056434126022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498919875820127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491541752552847"/>
    <n v="-507.11785938269333"/>
    <n v="-1.0995703470103191"/>
    <n v="-67.397755137999411"/>
    <n v="-1.9926218767327173E-2"/>
    <n v="184.82380115500004"/>
    <n v="221.86562636500003"/>
    <n v="7590.5398619670004"/>
    <n v="-0.65484148573190204"/>
    <n v="-0.75231612467561426"/>
    <n v="-9.8552988178392309E-2"/>
    <n v="25.370292514034457"/>
    <n v="5.4643355519523706E-2"/>
    <n v="6.5594810967324002E-2"/>
    <n v="1039.8937898168945"/>
    <n v="2.2441512709433762"/>
    <n v="127.433595526"/>
    <n v="17.492485136686682"/>
    <n v="818.99254791984254"/>
    <n v="64.556258688"/>
    <n v="8.8614732317549816"/>
    <n v="57.390205629000036"/>
    <n v="7.8778073773477759"/>
    <n v="3986.1773976179998"/>
    <n v="1.1785176332309055"/>
    <n v="-776.45167686499951"/>
    <n v="188.89213552900083"/>
    <n v="-11309.688681427"/>
    <n v="-106.58154437889443"/>
    <n v="-1547.0116491995877"/>
    <n v="-0.24563073080569964"/>
    <n v="-1.1420808543541385"/>
    <n v="0.16997194655783798"/>
    <n v="-0.22955877304505218"/>
    <n v="-3.3437216179536953"/>
    <n v="-252.22155629299948"/>
    <n v="-5840.1261016740009"/>
    <n v="-7.4569574286850876E-2"/>
    <n v="-1.7266395608052301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8236.55117402837"/>
    <n v="7317.5874999999996"/>
    <n v="3438.5597139500001"/>
    <n v="1.0166138762988992"/>
    <n v="10452.911370882"/>
    <n v="44845.630694220999"/>
    <n v="13.25865892924954"/>
    <n v="9.462595955147135E-2"/>
    <n v="-6.1449326418541395E-2"/>
    <n v="8.239411996868351E-2"/>
    <n v="2680.8021049700001"/>
    <n v="0.79258202452244209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3"/>
    <n v="13261.208342515998"/>
    <n v="0.10845118907947371"/>
    <n v="2.7897543068200692E-2"/>
    <n v="908.92091818000006"/>
    <n v="549.85459924500003"/>
    <n v="0.18722608271775143"/>
    <n v="-2.5282799056627114E-2"/>
    <n v="260.42185997299998"/>
    <n v="7.6994002886166063E-2"/>
    <n v="75.467958120999995"/>
    <n v="2.2312182955700276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191562160986665"/>
    <n v="11741.935487316001"/>
    <n v="49594.355024306999"/>
    <n v="14.662624382895235"/>
    <n v="4934.9658988189994"/>
    <n v="1.4590279736739264"/>
    <n v="46635.254238163994"/>
    <n v="13.787763054079088"/>
    <n v="4011.0284479069996"/>
    <n v="1.1858648729667476"/>
    <n v="41026.425096944004"/>
    <n v="12.129506688304428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316310070717897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254233979976737"/>
    <n v="-646.12271358222824"/>
    <n v="-1.4039654536456945"/>
    <n v="-775.84442741599946"/>
    <n v="-0.22937923909258834"/>
    <n v="468.93283557800009"/>
    <n v="690.79846194300012"/>
    <n v="7443.5804879140005"/>
    <n v="-0.23861216582208078"/>
    <n v="-0.54301798360239861"/>
    <n v="-9.8138878342289293E-2"/>
    <n v="64.082983029311251"/>
    <n v="0.13864049699842354"/>
    <n v="0.20423530796574751"/>
    <n v="1018.2541207162531"/>
    <n v="2.2007025740054194"/>
    <n v="387.29189993599999"/>
    <n v="52.926172722362395"/>
    <n v="800.43907243447779"/>
    <n v="0"/>
    <n v="0"/>
    <n v="81.640935642000102"/>
    <n v="11.156810306948854"/>
    <n v="5607.2744278559994"/>
    <n v="1.6577967130970901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118283679819088"/>
    <n v="-3.6046680276511145"/>
    <n v="-1244.7772629939998"/>
    <n v="-6583.47567678"/>
    <n v="-0.36801973609101196"/>
    <n v="-1.9464116618764515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8236.55117402837"/>
    <n v="7405.4070454545454"/>
    <n v="5280.9667066130005"/>
    <n v="1.5613234844911408"/>
    <n v="15733.878077495001"/>
    <n v="46369.440206847998"/>
    <n v="13.709174849938128"/>
    <n v="0.18242430552480382"/>
    <n v="0.40557512873460011"/>
    <n v="0.12457329176430854"/>
    <n v="4063.1005273820001"/>
    <n v="1.201260039247345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90001"/>
    <n v="13605.240211532"/>
    <n v="0.14473987739885863"/>
    <n v="0.41744691563804515"/>
    <n v="917.48035970799992"/>
    <n v="645.10210708800003"/>
    <n v="3.5889417223444742E-2"/>
    <n v="0.44006971309716092"/>
    <n v="258.59573403600001"/>
    <n v="7.6454106789584711E-2"/>
    <n v="321.20730355900002"/>
    <n v="9.4965284634106112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291299831599116"/>
    <n v="15899.302351802002"/>
    <n v="49865.388385138998"/>
    <n v="14.742755687419015"/>
    <n v="3906.993386860001"/>
    <n v="1.1551067953178684"/>
    <n v="46848.506927070994"/>
    <n v="13.850811440827002"/>
    <n v="3433.9365634220012"/>
    <n v="1.0152470368748479"/>
    <n v="41212.001961335991"/>
    <n v="12.184372687779604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3985975844302065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219350133122921"/>
    <n v="-476.3871400632197"/>
    <n v="-1.0335808374808892"/>
    <n v="1596.6566655649997"/>
    <n v="0.47205325977424983"/>
    <n v="612.93987192400004"/>
    <n v="1303.7383338670002"/>
    <n v="7169.610256986999"/>
    <n v="-0.30890417196321718"/>
    <n v="-0.4564503791403105"/>
    <n v="-0.15700656939628643"/>
    <n v="82.769234447446593"/>
    <n v="0.1812163321191837"/>
    <n v="0.38545164008493127"/>
    <n v="977.37817541492325"/>
    <n v="2.1197029806805578"/>
    <n v="482.82380087799999"/>
    <n v="65.19881998577759"/>
    <n v="754.93903777228297"/>
    <n v="0"/>
    <n v="0"/>
    <n v="130.11607104600006"/>
    <n v="17.570414461669003"/>
    <n v="4770.3067364100007"/>
    <n v="1.4103463152790954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097716921204546"/>
    <n v="-3.1532838181614475"/>
    <n v="983.71679364099964"/>
    <n v="-5029.0534695429997"/>
    <n v="0.29083692765506614"/>
    <n v="-1.4868450651140501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8236.55117402837"/>
    <n v="7506.9517499999993"/>
    <n v="5401.0182893279998"/>
    <n v="1.5968168639908717"/>
    <n v="21134.896366822999"/>
    <n v="47509.428525263"/>
    <n v="14.046213621903508"/>
    <n v="0.20306885687654064"/>
    <n v="0.26753820700555608"/>
    <n v="0.1477196403763037"/>
    <n v="4387.6120386270004"/>
    <n v="1.297202216436242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78"/>
    <n v="0.26270212708837182"/>
    <n v="980.43224453300002"/>
    <n v="686.39956514099993"/>
    <n v="0.23766863101257241"/>
    <n v="0.18378289413807347"/>
    <n v="259.91833523700001"/>
    <n v="7.6845135256617389E-2"/>
    <n v="155.119391001"/>
    <n v="4.5861214721642687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583006450042709"/>
    <n v="20155.335056865002"/>
    <n v="50376.246560373991"/>
    <n v="14.893791456161864"/>
    <n v="4018.3227295779993"/>
    <n v="1.188021435185018"/>
    <n v="47331.666838903999"/>
    <n v="13.993658188216052"/>
    <n v="3325.7830593289991"/>
    <n v="0.98327133711159087"/>
    <n v="41587.748176837995"/>
    <n v="12.295462460365616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475009807342692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3851621898660095"/>
    <n v="-395.43377333538172"/>
    <n v="-0.84757783425835953"/>
    <n v="1837.5252545140004"/>
    <n v="0.54326631706002781"/>
    <n v="508.08560216199999"/>
    <n v="1811.8239360290002"/>
    <n v="7314.0249025189996"/>
    <n v="0.39710249856143442"/>
    <n v="-0.34407310432219151"/>
    <n v="-0.13160332338033187"/>
    <n v="67.682012497549351"/>
    <n v="0.15021605453296544"/>
    <n v="0.53566769461789676"/>
    <n v="994.60432426980105"/>
    <n v="2.1623993258953882"/>
    <n v="358.75900957499999"/>
    <n v="47.790237838547455"/>
    <n v="772.25378229705859"/>
    <n v="0"/>
    <n v="0"/>
    <n v="149.32659258699999"/>
    <n v="19.891774659001907"/>
    <n v="4764.1183072249996"/>
    <n v="1.4085166995372362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830016445363551"/>
    <n v="-3.0099771601537482"/>
    <n v="1329.4396523520004"/>
    <n v="-4436.9242755639989"/>
    <n v="0.39305026252706243"/>
    <n v="-1.3117814323033135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8236.55117402837"/>
    <n v="7529.649736842106"/>
    <n v="4396.6861224169998"/>
    <n v="1.2998849790644984"/>
    <n v="25531.582489239998"/>
    <n v="48344.980270715001"/>
    <n v="14.293245393766064"/>
    <n v="0.20838847792213744"/>
    <n v="0.23463078249917202"/>
    <n v="0.15236281500721183"/>
    <n v="2655.7522247849997"/>
    <n v="0.78517600051408121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8"/>
    <n v="0.14959955862885899"/>
    <n v="6.2758293855665892E-2"/>
    <n v="946.01547004100007"/>
    <n v="647.23786840499997"/>
    <n v="0.12130497320420042"/>
    <n v="5.0564060375549502E-2"/>
    <n v="252.199702183"/>
    <n v="7.4563113095733713E-2"/>
    <n v="115.63039133999999"/>
    <n v="3.4186249516394283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665747021470867"/>
    <n v="24101.117096276001"/>
    <n v="51049.732406850002"/>
    <n v="15.092908270751632"/>
    <n v="3689.903493622"/>
    <n v="1.0909239349840352"/>
    <n v="47919.982318545997"/>
    <n v="14.167594292282848"/>
    <n v="3366.3982402880001"/>
    <n v="0.99527925902837511"/>
    <n v="42103.959679195999"/>
    <n v="12.44808094602786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5644675955660133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33102769174116"/>
    <n v="-375.38058800549766"/>
    <n v="-0.79966287698556815"/>
    <n v="774.40933633999975"/>
    <n v="0.22895495287307172"/>
    <n v="529.7948712650001"/>
    <n v="2341.6188072940004"/>
    <n v="7511.590163547"/>
    <n v="0.59466481896982204"/>
    <n v="-0.24328779292924874"/>
    <n v="-6.2116470841602545E-2"/>
    <n v="70.361157528051649"/>
    <n v="0.15663442328337004"/>
    <n v="0.69230211790126672"/>
    <n v="1019.1512083928836"/>
    <n v="2.2208097077249822"/>
    <n v="350.46353503799997"/>
    <n v="46.544467177962311"/>
    <n v="787.93605666233918"/>
    <n v="51.064873304999999"/>
    <n v="6.7818391412209742"/>
    <n v="179.33133622700012"/>
    <n v="23.816690350089338"/>
    <n v="4475.5769106759999"/>
    <n v="1.3232091254304568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324146365958431E-2"/>
    <n v="-3.0204725847105505"/>
    <n v="244.61446507499971"/>
    <n v="-4400.3196603320011"/>
    <n v="7.2320529589701699E-2"/>
    <n v="-1.3009592384555633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8236.55117402837"/>
    <n v="7554.6780434782604"/>
    <n v="4743.8921766940002"/>
    <n v="1.4025368223001979"/>
    <n v="30275.474665933998"/>
    <n v="48989.357057457004"/>
    <n v="14.483756083549693"/>
    <n v="0.20006780848579853"/>
    <n v="0.15718364866281065"/>
    <n v="0.15485724534098932"/>
    <n v="3659.0060726440001"/>
    <n v="1.0817890792534071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724"/>
    <n v="0.24914749454572283"/>
    <n v="929.73680750200003"/>
    <n v="781.40767091300006"/>
    <n v="0.15418610543482814"/>
    <n v="0.21790375352198588"/>
    <n v="290.76578039700001"/>
    <n v="8.5965215582923846E-2"/>
    <n v="227.37097505699998"/>
    <n v="6.7222473227032703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219104449600128"/>
    <n v="28572.301394918002"/>
    <n v="51816.321462114007"/>
    <n v="15.319551149116833"/>
    <n v="3963.3966798389997"/>
    <n v="1.171782489527504"/>
    <n v="48532.058119517002"/>
    <n v="14.348555160895799"/>
    <n v="3723.3115539649998"/>
    <n v="1.1008010639421679"/>
    <n v="42596.906938884"/>
    <n v="12.59382133333283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0981425585336044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0626377340185143E-2"/>
    <n v="-393.58459314631392"/>
    <n v="-0.83579506556713867"/>
    <n v="512.79300392600055"/>
    <n v="0.1516078029255212"/>
    <n v="715.2767886649998"/>
    <n v="3056.8955959590003"/>
    <n v="7623.9870538190007"/>
    <n v="0.18643330217444332"/>
    <n v="-0.17321852001962079"/>
    <n v="-4.7613369123333138E-2"/>
    <n v="94.679982991793807"/>
    <n v="0.21147235157828281"/>
    <n v="0.90377446947954954"/>
    <n v="1030.934644817087"/>
    <n v="2.2540399691742161"/>
    <n v="526.55764160399997"/>
    <n v="69.699547561601563"/>
    <n v="803.8561368058663"/>
    <n v="0"/>
    <n v="0"/>
    <n v="188.71914706099983"/>
    <n v="24.980435430192252"/>
    <n v="5186.4610873069996"/>
    <n v="1.5333827965382958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084597423809768"/>
    <n v="-3.0898350347413546"/>
    <n v="-202.48378473899928"/>
    <n v="-4515.800277843"/>
    <n v="-5.9864548652761654E-2"/>
    <n v="-1.3351012071783883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8236.55117402837"/>
    <n v="7594.0761904761894"/>
    <n v="3531.4488884879997"/>
    <n v="1.0440766606182104"/>
    <n v="33806.923554421999"/>
    <n v="49164.831673819994"/>
    <n v="14.535635342533947"/>
    <n v="0.1827173369988111"/>
    <n v="5.228723528082635E-2"/>
    <n v="0.14989353376665027"/>
    <n v="2638.0364757970001"/>
    <n v="0.77993832027919607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79"/>
    <n v="7.9632849696503083E-2"/>
    <n v="923.93191281500003"/>
    <n v="716.7584203859999"/>
    <n v="0.11248765898401447"/>
    <n v="5.9124931075570153E-2"/>
    <n v="261.51274837"/>
    <n v="7.7316525213576723E-2"/>
    <n v="144.35493190900002"/>
    <n v="4.2678690817991159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842391000241304"/>
    <n v="32916.067435668003"/>
    <n v="52660.419908533004"/>
    <n v="15.569109762309022"/>
    <n v="4135.286141732"/>
    <n v="1.222601793738231"/>
    <n v="49357.344013875998"/>
    <n v="14.592551822845667"/>
    <n v="3455.4918034880002"/>
    <n v="1.0216198667748631"/>
    <n v="43024.734656330009"/>
    <n v="12.720309057962535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098192696336786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016243940592016"/>
    <n v="-480.79520184342789"/>
    <n v="-1.0334744197750703"/>
    <n v="-132.52281401799996"/>
    <n v="-3.9180512442552301E-2"/>
    <n v="645.81966667200004"/>
    <n v="3702.7152626310003"/>
    <n v="7920.2509907469994"/>
    <n v="0.84754421603951746"/>
    <n v="-8.5048938013704056E-2"/>
    <n v="2.4062826769422285E-2"/>
    <n v="85.042558235316278"/>
    <n v="0.19093727878620514"/>
    <n v="1.0947117482657549"/>
    <n v="1067.9162805031281"/>
    <n v="2.341630720646716"/>
    <n v="477.24601732299999"/>
    <n v="62.844512663899692"/>
    <n v="838.979146515303"/>
    <n v="127.07217031499999"/>
    <n v="16.733064974297012"/>
    <n v="168.57364934900005"/>
    <n v="22.198045571416575"/>
    <n v="4989.5857074220003"/>
    <n v="1.4751763788103358"/>
    <n v="-1458.1368189340001"/>
    <n v="-2811.8591438769986"/>
    <n v="-11415.83922546"/>
    <n v="-192.009769504639"/>
    <n v="-1548.7114823465563"/>
    <n v="1.9561877780999946"/>
    <n v="-0.33432468849233177"/>
    <n v="0.12861682040078559"/>
    <n v="-0.43109971819212539"/>
    <n v="-3.3751051404217871"/>
    <n v="-778.34248069"/>
    <n v="-5083.2298679139985"/>
    <n v="-0.23011779122875747"/>
    <n v="-1.5028623755386483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8236.55117402837"/>
    <n v="7764.5704999999998"/>
    <n v="4370.9542382060008"/>
    <n v="1.2922773198326136"/>
    <n v="38177.877792628002"/>
    <n v="49611.875461653006"/>
    <n v="14.667804319033181"/>
    <n v="0.17441407310098622"/>
    <n v="0.11392813202210195"/>
    <n v="0.15813397783971661"/>
    <n v="3460.8805431460005"/>
    <n v="1.023213053448300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0002"/>
    <n v="14446.838614917002"/>
    <n v="0.17296668689808992"/>
    <n v="0.11276210270258713"/>
    <n v="960.38545763900004"/>
    <n v="679.40700596600004"/>
    <n v="0.10663240491112491"/>
    <n v="0.10577069410089179"/>
    <n v="261.46539940299999"/>
    <n v="7.7302526440577293E-2"/>
    <n v="133.323971091"/>
    <n v="3.9417375392525981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417077367300991"/>
    <n v="37454.213411219003"/>
    <n v="53045.797866221008"/>
    <n v="15.683047169827621"/>
    <n v="4267.5260761419995"/>
    <n v="1.2616986725205479"/>
    <n v="49709.526889630004"/>
    <n v="14.696675068701731"/>
    <n v="3292.2966436869992"/>
    <n v="0.97337104232506722"/>
    <n v="43313.737746054001"/>
    <n v="12.805753132152875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8832763019548058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430416897485382E-2"/>
    <n v="-470.87431101673809"/>
    <n v="-1.0152428507944391"/>
    <n v="808.03769511000132"/>
    <n v="0.23889721329799521"/>
    <n v="538.2603576869999"/>
    <n v="4240.9756203180004"/>
    <n v="8193.9777676760004"/>
    <n v="1.0347524731818831"/>
    <n v="-1.6342071545816794E-2"/>
    <n v="0.11548726609281079"/>
    <n v="69.322618383978863"/>
    <n v="0.15913725344546098"/>
    <n v="1.2538490017112158"/>
    <n v="1100.8821532689044"/>
    <n v="2.4225583365353267"/>
    <n v="384.97324464299999"/>
    <n v="49.580752038119819"/>
    <n v="864.88886369327599"/>
    <n v="0"/>
    <n v="0"/>
    <n v="153.28711304399991"/>
    <n v="19.741866345859041"/>
    <n v="5076.4063332379992"/>
    <n v="1.5008449901755601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856767034294638"/>
    <n v="-3.4378011873297649"/>
    <n v="269.77733742300143"/>
    <n v="-5232.1110286679977"/>
    <n v="7.9759959852534229E-2"/>
    <n v="-1.5468792507809095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8236.55117402837"/>
    <n v="7866.6784782608702"/>
    <n v="3977.2279507849989"/>
    <n v="1.1758717196529858"/>
    <n v="42155.105743412998"/>
    <n v="50145.914102157993"/>
    <n v="14.82569341725492"/>
    <n v="0.1725642875085327"/>
    <n v="0.15509999375014649"/>
    <n v="0.16040546038334558"/>
    <n v="2938.4860406579992"/>
    <n v="0.86876655715014628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4"/>
    <n v="14763.615768324002"/>
    <n v="0.17850148327402371"/>
    <n v="0.26925777864855327"/>
    <n v="915.57332939700007"/>
    <n v="796.12872242500009"/>
    <n v="0.10903134462039188"/>
    <n v="0.17840889887098044"/>
    <n v="278.58991820699998"/>
    <n v="8.2365408835918738E-2"/>
    <n v="136.67292838400002"/>
    <n v="4.0407498216737524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737345366794319"/>
    <n v="41762.449179196003"/>
    <n v="53576.672621769001"/>
    <n v="15.840000862060263"/>
    <n v="4021.9349646010005"/>
    <n v="1.1890893963531597"/>
    <n v="50203.394884380003"/>
    <n v="14.842687672317684"/>
    <n v="3511.0730542310002"/>
    <n v="1.0380525233136304"/>
    <n v="43783.090532333998"/>
    <n v="12.944517788027843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03687303952937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7862817026446169E-2"/>
    <n v="-467.70048644160602"/>
    <n v="-1.0143074448053415"/>
    <n v="179.85409317799872"/>
    <n v="5.3174056013083219E-2"/>
    <n v="588.54177369600006"/>
    <n v="4829.5173940140003"/>
    <n v="8124.4085024489996"/>
    <n v="-0.10571052772621803"/>
    <n v="-2.8177033198065304E-2"/>
    <n v="0.16941451014367881"/>
    <n v="74.814519917447072"/>
    <n v="0.1740030081471548"/>
    <n v="1.4278520098583707"/>
    <n v="1086.5802107942291"/>
    <n v="2.4019901084755491"/>
    <n v="384.405889468"/>
    <n v="48.865082071205066"/>
    <n v="844.89133805294216"/>
    <n v="0"/>
    <n v="0"/>
    <n v="204.13588422800007"/>
    <n v="25.949437846242002"/>
    <n v="4896.7775416730001"/>
    <n v="1.447737544826586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186582517360097"/>
    <n v="-3.4162975532808906"/>
    <n v="-408.68768051800134"/>
    <n v="-5134.8626700139994"/>
    <n v="-0.1208289521340716"/>
    <n v="-1.5181276689910508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8236.55117402837"/>
    <n v="7805.0828571428574"/>
    <n v="4457.9907691799999"/>
    <n v="1.3180097637899248"/>
    <n v="46613.096512592994"/>
    <n v="50662.650665901994"/>
    <n v="14.978467137880438"/>
    <n v="0.16846869801436104"/>
    <n v="0.13110967646575244"/>
    <n v="0.16789517941902066"/>
    <n v="3554.6955079149998"/>
    <n v="1.050949548644744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7897439458409212E-2"/>
    <n v="95.311864408000005"/>
    <n v="2.8179055184062721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720732258102843"/>
    <n v="47079.775440107005"/>
    <n v="55080.031561338001"/>
    <n v="16.284470548837405"/>
    <n v="4795.941083912001"/>
    <n v="1.4179251376781006"/>
    <n v="51419.172438133006"/>
    <n v="15.202133613193384"/>
    <n v="3767.9336236840008"/>
    <n v="1.1139936268287385"/>
    <n v="44630.057472934997"/>
    <n v="13.194924474608921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393151084936204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406346202035929"/>
    <n v="-594.90341771061981"/>
    <n v="-1.3060034109569616"/>
    <n v="168.6719684969994"/>
    <n v="4.9868048829002767E-2"/>
    <n v="718.50151981600004"/>
    <n v="5548.0189138300002"/>
    <n v="7914.2913423280006"/>
    <n v="-0.22626850467325821"/>
    <n v="-5.9364953552974442E-2"/>
    <n v="0.10759272482352666"/>
    <n v="92.055591589070715"/>
    <n v="0.21242574681005394"/>
    <n v="1.6402777566684246"/>
    <n v="1053.8578801126062"/>
    <n v="2.3398687441842929"/>
    <n v="384.48282450800002"/>
    <n v="49.260569239971467"/>
    <n v="791.46351517470418"/>
    <n v="0"/>
    <n v="0"/>
    <n v="334.01869530800002"/>
    <n v="42.795022349099249"/>
    <n v="6035.8277807270006"/>
    <n v="1.7844989726203382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648920883041317"/>
    <n v="-3.6458721551412538"/>
    <n v="-549.82955131900053"/>
    <n v="-5542.5572725660004"/>
    <n v="-0.16255769798105116"/>
    <n v="-1.6386630165567948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8236.55117402837"/>
    <n v="7810.2420000000002"/>
    <n v="4269.2672736470004"/>
    <n v="1.2622134594349002"/>
    <n v="50882.363786239992"/>
    <n v="50882.363786239992"/>
    <n v="15.043425558126675"/>
    <n v="0.15794323729452397"/>
    <n v="5.425612598820706E-2"/>
    <n v="0.15794323729452397"/>
    <n v="2899.823222813"/>
    <n v="0.85733585348704444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599"/>
    <n v="0.19698794677658182"/>
    <n v="0.19558070431625407"/>
    <n v="978.30788706600003"/>
    <n v="749.44608135500005"/>
    <n v="9.938351075698959E-2"/>
    <n v="0.16562572119880192"/>
    <n v="275.01524177099992"/>
    <n v="8.1308551904403725E-2"/>
    <n v="349.51675932200004"/>
    <n v="0.10333500566654247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811426825746306"/>
    <n v="53104.251021136006"/>
    <n v="53104.251021136006"/>
    <n v="15.700328907922485"/>
    <n v="5761.804949747002"/>
    <n v="1.7034838280332563"/>
    <n v="49779.337335224001"/>
    <n v="14.717314601996312"/>
    <n v="5562.4376089600019"/>
    <n v="1.644540659385459"/>
    <n v="43146.026882958002"/>
    <n v="12.756169235168983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8943168647797077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1892922313973011"/>
    <n v="-281.04094168616604"/>
    <n v="-0.65690334979580678"/>
    <n v="-1555.8409665950012"/>
    <n v="-0.45998605449193308"/>
    <n v="810.47758804299997"/>
    <n v="6358.4965018729999"/>
    <n v="6358.4965018729999"/>
    <n v="-0.65748762556581297"/>
    <n v="-0.23061938274699501"/>
    <n v="-0.23061938274699501"/>
    <n v="103.77112361473561"/>
    <n v="0.23961857026681771"/>
    <n v="1.879896326935242"/>
    <n v="835.03814243919601"/>
    <n v="1.879896326935242"/>
    <n v="361.57348667700001"/>
    <n v="46.294786599058007"/>
    <n v="556.4974330351921"/>
    <n v="0"/>
    <n v="0"/>
    <n v="448.90410136599996"/>
    <n v="57.476337015677615"/>
    <n v="6834.9531690720014"/>
    <n v="2.020761252841448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5854779340654777"/>
    <n v="-2.5367996767310488"/>
    <n v="-2366.3185546380009"/>
    <n v="-1947.0732845029997"/>
    <n v="-0.69960462475875063"/>
    <n v="-0.57565430990372124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71032.85222057428"/>
    <n v="7892.6847727272743"/>
    <n v="4124.7435304300006"/>
    <n v="1.1116922681493158"/>
    <n v="4124.7435304300006"/>
    <n v="51202.481380490994"/>
    <n v="13.79998592417142"/>
    <n v="8.4139045367622955E-2"/>
    <n v="8.4139045367622955E-2"/>
    <n v="0.14838774514406206"/>
    <n v="3170.3205065040006"/>
    <n v="0.85445816658285723"/>
    <n v="3170.3205065040006"/>
    <n v="38478.575472218996"/>
    <n v="9.255668773703607E-2"/>
    <n v="9.255668773703607E-2"/>
    <n v="0.18990411128591411"/>
    <n v="1764.8939616329997"/>
    <n v="23157.069468613001"/>
    <n v="0.20008858693455944"/>
    <n v="4.6715070092460786E-2"/>
    <n v="3129.6916872159995"/>
    <n v="17140.085666826599"/>
    <n v="0.31796458241802816"/>
    <n v="1.6428517823909763"/>
    <n v="1159.2110978649998"/>
    <n v="712.28398651199996"/>
    <n v="6.9590966761734929E-2"/>
    <n v="0.16182686279814495"/>
    <n v="273.42565705699997"/>
    <n v="7.369311246176441E-2"/>
    <n v="116.16520254999999"/>
    <n v="3.1308602959217544E-2"/>
    <n v="564.83216431899996"/>
    <n v="71.564009026528666"/>
    <n v="333.223921152"/>
    <n v="42.219337367106874"/>
    <n v="42.219337367106874"/>
    <n v="0"/>
    <n v="0"/>
    <n v="0"/>
    <n v="231.60824316699996"/>
    <n v="333.223921152"/>
    <n v="3974.1754129680007"/>
    <n v="1.0711114633605017"/>
    <n v="3974.1754129680007"/>
    <n v="54276.186135529002"/>
    <n v="14.628404415052309"/>
    <n v="3828.0010208210006"/>
    <n v="1.0317148462490602"/>
    <n v="50933.093661156003"/>
    <n v="13.727381108257477"/>
    <n v="3271.8173338910005"/>
    <n v="0.88181337968044593"/>
    <n v="43806.295047763"/>
    <n v="11.806581219314973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4990146656861425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0580804788813984E-2"/>
    <n v="-399.59766066073098"/>
    <n v="-0.82841849088088915"/>
    <n v="706.75180439199994"/>
    <n v="0.19048227135742821"/>
    <n v="380.00272154300001"/>
    <n v="380.00272154300001"/>
    <n v="6701.4573982060001"/>
    <n v="9.2587472239465285"/>
    <n v="9.2587472239465285"/>
    <n v="-0.15611433661676621"/>
    <n v="48.14619264360816"/>
    <n v="0.10241754046002732"/>
    <n v="0.10241754046002732"/>
    <n v="878.09826739234381"/>
    <n v="1.8061628122951412"/>
    <n v="287.77922521900001"/>
    <n v="36.46151259117871"/>
    <n v="592.95894562637079"/>
    <n v="0"/>
    <n v="0"/>
    <n v="92.223496323999996"/>
    <n v="11.684680052429442"/>
    <n v="4354.1781345110012"/>
    <n v="1.173529003820529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1836735671213325E-2"/>
    <n v="-2.6345813031760303"/>
    <n v="326.74908284899993"/>
    <n v="-2648.363539851"/>
    <n v="8.8064730897400911E-2"/>
    <n v="-0.71378141423352504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71032.85222057428"/>
    <n v="7897.4904999999999"/>
    <n v="3851.9921639730001"/>
    <n v="1.0381808890828459"/>
    <n v="7976.7356944030007"/>
    <n v="51844.747823711004"/>
    <n v="13.973088235564102"/>
    <n v="0.13720213706706796"/>
    <n v="0.20010010172125381"/>
    <n v="0.15029667737124885"/>
    <n v="2713.4203845080001"/>
    <n v="0.73131539923448785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2675.7695004709999"/>
    <n v="18736.0862011506"/>
    <n v="0.4159887412150749"/>
    <n v="1.4780944668368252"/>
    <n v="1010.0511815469999"/>
    <n v="622.01405850599997"/>
    <n v="9.7968408308030996E-2"/>
    <n v="0.10572131106984828"/>
    <n v="277.19387290000003"/>
    <n v="7.4708714131656417E-2"/>
    <n v="133.63602569"/>
    <n v="3.6017302751012219E-2"/>
    <n v="727.74188087499988"/>
    <n v="92.148497155520474"/>
    <n v="377.65804356899997"/>
    <n v="47.82000606002628"/>
    <n v="90.039343427133161"/>
    <n v="186.91150083100001"/>
    <n v="23.66720173085362"/>
    <n v="23.66720173085362"/>
    <n v="163.1723364749999"/>
    <n v="564.56954440000004"/>
    <n v="4084.5110122229999"/>
    <n v="1.1008488838057959"/>
    <n v="8058.686425191001"/>
    <n v="54559.343551288999"/>
    <n v="14.704720410809921"/>
    <n v="3933.971136183"/>
    <n v="1.0602756905861006"/>
    <n v="51258.047561856001"/>
    <n v="13.814962005408555"/>
    <n v="3567.1299206220001"/>
    <n v="0.96140541175081373"/>
    <n v="44288.637853474"/>
    <n v="11.936581245680362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9.887027883528697E-2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2667994722949844E-2"/>
    <n v="-347.82852692820677"/>
    <n v="-0.73163217524582125"/>
    <n v="134.32236731100022"/>
    <n v="3.620228411233712E-2"/>
    <n v="907.87870943500013"/>
    <n v="1287.881430978"/>
    <n v="7424.5123064859999"/>
    <n v="3.912130925570672"/>
    <n v="4.8047812636791907"/>
    <n v="-2.187295745759732E-2"/>
    <n v="114.95787293887851"/>
    <n v="0.24468957506093769"/>
    <n v="0.34710711552096496"/>
    <n v="967.68584781718789"/>
    <n v="2.0010390621885477"/>
    <n v="413.245992242"/>
    <n v="52.32624113216724"/>
    <n v="627.79270162185139"/>
    <n v="0"/>
    <n v="0"/>
    <n v="494.63271719300013"/>
    <n v="62.631631806711276"/>
    <n v="4992.3897216579999"/>
    <n v="1.3455384588667334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0735756978388751"/>
    <n v="-2.7326712374343689"/>
    <n v="-773.5563421239998"/>
    <n v="-3169.6983256820008"/>
    <n v="-0.20848729094860052"/>
    <n v="-0.85429047770617783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71032.85222057428"/>
    <n v="7962.8940000000002"/>
    <n v="4027.712574317"/>
    <n v="1.0855406873574032"/>
    <n v="12004.44826872"/>
    <n v="52433.900684078006"/>
    <n v="14.131875484952131"/>
    <n v="0.14843107750439888"/>
    <n v="0.17133710314142503"/>
    <n v="0.16920868036392367"/>
    <n v="3061.0368464620001"/>
    <n v="0.82500426259889592"/>
    <n v="8944.7777374740017"/>
    <n v="39202.170391240994"/>
    <n v="0.14183618432224976"/>
    <n v="0.12476044619480331"/>
    <n v="0.18922763620115735"/>
    <n v="1827.8617192350002"/>
    <n v="23439.842413368999"/>
    <n v="0.18439937392373795"/>
    <n v="7.7855647533959349E-2"/>
    <n v="3055.3964847860002"/>
    <n v="20708.084944128601"/>
    <n v="0.56155339764458723"/>
    <n v="1.8201983139516984"/>
    <n v="994.83397594399992"/>
    <n v="648.60454022199997"/>
    <n v="9.4522038216515059E-2"/>
    <n v="0.17959282528979936"/>
    <n v="271.668960218"/>
    <n v="7.3219651195872079E-2"/>
    <n v="163.923467147"/>
    <n v="4.4180310763842982E-2"/>
    <n v="531.08330049000006"/>
    <n v="66.694759529638347"/>
    <n v="294.227257861"/>
    <n v="36.949789594210344"/>
    <n v="126.98913302134351"/>
    <n v="12.926224104999999"/>
    <n v="1.6233073182940774"/>
    <n v="25.290509049147698"/>
    <n v="223.92981852400007"/>
    <n v="307.15348196600002"/>
    <n v="5019.9217820459999"/>
    <n v="1.3529588423242156"/>
    <n v="13078.608207237001"/>
    <n v="54440.923741057006"/>
    <n v="14.672804150693528"/>
    <n v="4603.8740828459995"/>
    <n v="1.2408265347104777"/>
    <n v="50926.955745882995"/>
    <n v="13.725726830142678"/>
    <n v="3658.3800428579993"/>
    <n v="0.98599895426056217"/>
    <n v="43935.989448425004"/>
    <n v="11.841536183514451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482758044991555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6741815496681254"/>
    <n v="-240.14542732482988"/>
    <n v="-0.54092866574139686"/>
    <n v="-46.715167740999846"/>
    <n v="-1.2590574516897031E-2"/>
    <n v="466.08035353199995"/>
    <n v="1753.9617845099999"/>
    <n v="7421.6598244399993"/>
    <n v="-6.082922392253054E-3"/>
    <n v="1.5390354512033131"/>
    <n v="-2.944908503319521E-3"/>
    <n v="58.531528051484784"/>
    <n v="0.12561700419318156"/>
    <n v="0.47272411971414657"/>
    <n v="962.13439283936134"/>
    <n v="2.0002702671805239"/>
    <n v="323.40904947199999"/>
    <n v="40.614511441694439"/>
    <n v="615.4810403411833"/>
    <n v="0"/>
    <n v="0"/>
    <n v="142.67130405999995"/>
    <n v="17.917016609790355"/>
    <n v="5486.002135578"/>
    <n v="1.4785758465173973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30351591599941"/>
    <n v="-2.5411989329219211"/>
    <n v="-512.79552127299974"/>
    <n v="-2437.7165839610007"/>
    <n v="-0.13820757871007858"/>
    <n v="-0.65700828629369168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71032.85222057428"/>
    <n v="8006.0007500000002"/>
    <n v="5201.0854941579992"/>
    <n v="1.4017857079313345"/>
    <n v="17205.533762878"/>
    <n v="52354.019471622996"/>
    <n v="14.110346067280103"/>
    <n v="9.353419914242167E-2"/>
    <n v="-1.5126248070257975E-2"/>
    <n v="0.12906300438561646"/>
    <n v="4334.319811067"/>
    <n v="1.1681768299294162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4349.3867798020001"/>
    <n v="23889.3066391016"/>
    <n v="0.75589010320102057"/>
    <n v="2.7232638060216274"/>
    <n v="1083.2851380710001"/>
    <n v="712.86291892299994"/>
    <n v="0.18071752338738856"/>
    <n v="0.10503889398357913"/>
    <n v="297.34299517599999"/>
    <n v="8.0139263517084294E-2"/>
    <n v="106.04093710200002"/>
    <n v="2.8579932064603283E-2"/>
    <n v="463.381750813"/>
    <n v="57.879303947479649"/>
    <n v="276.34434612899997"/>
    <n v="34.517152166017468"/>
    <n v="161.50628518736096"/>
    <n v="7.0210299000000003"/>
    <n v="0.87697092708865909"/>
    <n v="26.167479976236358"/>
    <n v="180.01637478400002"/>
    <n v="283.36537602899995"/>
    <n v="4018.5587189970006"/>
    <n v="1.0830735593752812"/>
    <n v="17097.166926234"/>
    <n v="54302.115595568008"/>
    <n v="14.635392869008292"/>
    <n v="3858.1495732490007"/>
    <n v="1.0398404211806507"/>
    <n v="50878.111932272004"/>
    <n v="13.712562547433299"/>
    <n v="3409.5345246110005"/>
    <n v="0.9189306295131181"/>
    <n v="43911.587409614003"/>
    <n v="11.834959396940175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090979166753248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1871214855605334"/>
    <n v="-244.16732544596445"/>
    <n v="-0.52504680172818885"/>
    <n v="1631.1418237989985"/>
    <n v="0.43962194022358581"/>
    <n v="318.76106640099999"/>
    <n v="2072.722850911"/>
    <n v="7127.4810189169993"/>
    <n v="-0.47994724931106458"/>
    <n v="0.58983041080269971"/>
    <n v="-5.8760848302658042E-3"/>
    <n v="39.81526811635635"/>
    <n v="8.5911817375001767E-2"/>
    <n v="0.55863593708914827"/>
    <n v="919.18042650827113"/>
    <n v="1.9209838094551808"/>
    <n v="243.17422499700001"/>
    <n v="30.373994780977256"/>
    <n v="580.65621513638291"/>
    <n v="0"/>
    <n v="0"/>
    <n v="75.586841403999983"/>
    <n v="9.441273335379087"/>
    <n v="4337.3197853980009"/>
    <n v="1.1689853767502831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280033118105156"/>
    <n v="-2.4460306111833696"/>
    <n v="1312.3807573979987"/>
    <n v="-2109.0526202040019"/>
    <n v="0.35371012284858405"/>
    <n v="-0.56842746069024563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71032.85222057428"/>
    <n v="7986.7823684210525"/>
    <n v="5564.8573332980004"/>
    <n v="1.4998287348392976"/>
    <n v="22770.391096176001"/>
    <n v="52517.858515592998"/>
    <n v="14.154503624485468"/>
    <n v="7.7383617168824026E-2"/>
    <n v="3.0334843393093891E-2"/>
    <n v="0.10541970606248774"/>
    <n v="4631.7785812760003"/>
    <n v="1.248347296891777"/>
    <n v="17910.876129817003"/>
    <n v="39717.556217575002"/>
    <n v="5.5649073003593452E-2"/>
    <n v="9.1905581442777828E-2"/>
    <n v="0.12955625060845644"/>
    <n v="3202.2907976920001"/>
    <n v="23737.622448403996"/>
    <n v="0.11570704018419486"/>
    <n v="5.3609764055694065E-2"/>
    <n v="4650.7328986090006"/>
    <n v="27226.682607511601"/>
    <n v="0.96179125867276749"/>
    <n v="2.541103558119818"/>
    <n v="1062.97376199"/>
    <n v="799.34"/>
    <n v="8.4188905370320866E-2"/>
    <n v="0.16454036481768441"/>
    <n v="277.29162898699997"/>
    <n v="7.4735061148211643E-2"/>
    <n v="147.54619053900001"/>
    <n v="3.9766341351165767E-2"/>
    <n v="508.24093249600008"/>
    <n v="63.635254981472194"/>
    <n v="266.561007211"/>
    <n v="33.375268651986296"/>
    <n v="194.88155383934725"/>
    <n v="0"/>
    <n v="0"/>
    <n v="26.167479976236358"/>
    <n v="241.67992528500008"/>
    <n v="266.561007211"/>
    <n v="4398.1365026979993"/>
    <n v="1.1853765714749602"/>
    <n v="21495.303428931998"/>
    <n v="54444.219393203006"/>
    <n v="14.673692387982026"/>
    <n v="4139.6495781769991"/>
    <n v="1.1157097150297706"/>
    <n v="50999.438780870994"/>
    <n v="13.745262306463493"/>
    <n v="3465.606700123999"/>
    <n v="0.93404308523702906"/>
    <n v="44051.411050409006"/>
    <n v="11.872644372800984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16666297927414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445216336433751"/>
    <n v="-250.60923591220597"/>
    <n v="-0.51918876349655541"/>
    <n v="1840.7637086530012"/>
    <n v="0.49611879315707891"/>
    <n v="397.49302823000005"/>
    <n v="2470.2158791410002"/>
    <n v="7016.8884449849993"/>
    <n v="-0.21766523881292388"/>
    <n v="0.36338627060806306"/>
    <n v="-4.0625573674443527E-2"/>
    <n v="49.76885683046131"/>
    <n v="0.10713149141674805"/>
    <n v="0.66576742850589643"/>
    <n v="901.26727084118318"/>
    <n v="1.891177129731237"/>
    <n v="225.736997944"/>
    <n v="28.26382234184091"/>
    <n v="561.12979963967643"/>
    <n v="0"/>
    <n v="0"/>
    <n v="171.75603028600005"/>
    <n v="21.505034488620399"/>
    <n v="4795.6295309279994"/>
    <n v="1.2925080628917083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0732067194758944"/>
    <n v="-2.4103658932277927"/>
    <n v="1443.2706804230011"/>
    <n v="-1995.2215921330007"/>
    <n v="0.3889873017403308"/>
    <n v="-0.53774795956528054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71032.85222057428"/>
    <n v="7955.8235000000004"/>
    <n v="4013.7244242530005"/>
    <n v="1.0817706303448549"/>
    <n v="26784.115520429001"/>
    <n v="52134.896817428998"/>
    <n v="14.051288586821814"/>
    <n v="4.9058182418456386E-2"/>
    <n v="-8.7102351066505768E-2"/>
    <n v="7.8393175992456543E-2"/>
    <n v="3102.8600621360006"/>
    <n v="0.83627636840400055"/>
    <n v="21013.736191953005"/>
    <n v="40164.664054926005"/>
    <n v="0.1683544997828994"/>
    <n v="0.10255821908240081"/>
    <n v="0.13524114906616624"/>
    <n v="1655.6831278200002"/>
    <n v="23871.168387410999"/>
    <n v="0.11317596235528571"/>
    <n v="8.7735809878702664E-2"/>
    <n v="3111.8886115040004"/>
    <n v="29169.930154613601"/>
    <n v="1.0914104447503163"/>
    <n v="1.6628266850235756"/>
    <n v="1026.8104989789999"/>
    <n v="785.22966479199999"/>
    <n v="8.5405610686787314E-2"/>
    <n v="0.21320105501097419"/>
    <n v="284.54960996900002"/>
    <n v="7.6691217035368853E-2"/>
    <n v="116.42187647999999"/>
    <n v="3.1377781181163085E-2"/>
    <n v="509.89287566799999"/>
    <n v="64.090521322902646"/>
    <n v="261.02702574599999"/>
    <n v="32.809554629511325"/>
    <n v="227.69110846885857"/>
    <n v="17.284437026999999"/>
    <n v="2.172551594061884"/>
    <n v="28.34003157029824"/>
    <n v="231.581412895"/>
    <n v="278.31146277300002"/>
    <n v="4133.9733428289992"/>
    <n v="1.1141798679248502"/>
    <n v="25629.276771760997"/>
    <n v="54632.410696621002"/>
    <n v="14.724413315331638"/>
    <n v="3905.2282324359994"/>
    <n v="1.0525289631534813"/>
    <n v="51214.763519685002"/>
    <n v="13.803296180694662"/>
    <n v="3474.4318442379995"/>
    <n v="0.9364216196609173"/>
    <n v="44159.444654359009"/>
    <n v="11.901761364275847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610734349256412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409237579995274E-2"/>
    <n v="-325.60762023734071"/>
    <n v="-0.67312472850982485"/>
    <n v="310.5474696220013"/>
    <n v="8.3698105912568849E-2"/>
    <n v="427.320404983"/>
    <n v="2897.5362841240003"/>
    <n v="6914.4139787029999"/>
    <n v="-0.19342291109258969"/>
    <n v="0.2374073333790927"/>
    <n v="-7.9500634598255515E-2"/>
    <n v="53.711649709549235"/>
    <n v="0.11517050375069307"/>
    <n v="0.78093793225658947"/>
    <n v="884.61776302268072"/>
    <n v="1.8635584254389608"/>
    <n v="229.93004478200001"/>
    <n v="28.900847886079926"/>
    <n v="543.48618034779395"/>
    <n v="0"/>
    <n v="0"/>
    <n v="197.39036020099999"/>
    <n v="24.810801823469312"/>
    <n v="4561.2937478119993"/>
    <n v="1.2293503716755434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4757974133068835"/>
    <n v="-2.5366831539487853"/>
    <n v="-116.7729353609987"/>
    <n v="-2356.6089925689989"/>
    <n v="-3.1472397838124236E-2"/>
    <n v="-0.63514833752996758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71032.85222057428"/>
    <n v="7550.9523913043467"/>
    <n v="5048.8437496899996"/>
    <n v="1.3607538306846552"/>
    <n v="31832.959270119001"/>
    <n v="52439.848390425002"/>
    <n v="14.133478498354151"/>
    <n v="5.1443771612852185E-2"/>
    <n v="6.4282989924218548E-2"/>
    <n v="7.0433488827401858E-2"/>
    <n v="3938.4429935549997"/>
    <n v="1.0614809362524174"/>
    <n v="24952.179185508005"/>
    <n v="40444.100975836998"/>
    <n v="7.6369624800616487E-2"/>
    <n v="9.8340246667963038E-2"/>
    <n v="0.12106013532203108"/>
    <n v="2442.905863855"/>
    <n v="24086.439624275001"/>
    <n v="0.10404050622364913"/>
    <n v="9.6636689992011693E-2"/>
    <n v="3882.5219203389997"/>
    <n v="31658.638294940603"/>
    <n v="1.2254860972640991"/>
    <n v="1.7855384815506512"/>
    <n v="1031.0920751010001"/>
    <n v="801.45278199000006"/>
    <n v="0.10901501024931948"/>
    <n v="2.5652565009477435E-2"/>
    <n v="287.30952423299999"/>
    <n v="7.7435063367973192E-2"/>
    <n v="134.38986680599999"/>
    <n v="3.6220476435360749E-2"/>
    <n v="688.70136509600002"/>
    <n v="91.207218560814439"/>
    <n v="242.65101600899999"/>
    <n v="32.135153744107321"/>
    <n v="259.8262622129659"/>
    <n v="32.992190315999999"/>
    <n v="4.3692753716728108"/>
    <n v="32.70930694197105"/>
    <n v="413.05815877100002"/>
    <n v="275.64320632499999"/>
    <n v="4523.7483837580003"/>
    <n v="1.2192312235113589"/>
    <n v="30153.025155518997"/>
    <n v="54684.974781737008"/>
    <n v="14.738580277852995"/>
    <n v="4332.9575013680005"/>
    <n v="1.1678096630624268"/>
    <n v="51584.324341214"/>
    <n v="13.902899442054736"/>
    <n v="4105.719281525001"/>
    <n v="1.1065648922872748"/>
    <n v="44541.852381919009"/>
    <n v="12.004827096938426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1244770775152224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152260717329604"/>
    <n v="-292.16521947156662"/>
    <n v="-0.60510177949884136"/>
    <n v="752.33358577499939"/>
    <n v="0.20276737794844829"/>
    <n v="521.96925679200001"/>
    <n v="3419.5055409160004"/>
    <n v="6721.1064468300001"/>
    <n v="-0.27025556391084771"/>
    <n v="0.11862032365002739"/>
    <n v="-0.11842630379818531"/>
    <n v="69.126280996434062"/>
    <n v="0.14068006476194619"/>
    <n v="0.92161799701853575"/>
    <n v="859.06406102732092"/>
    <n v="1.8114585828735157"/>
    <n v="259.82464989699997"/>
    <n v="34.409520340270348"/>
    <n v="508.19615312646283"/>
    <n v="0"/>
    <n v="0"/>
    <n v="262.14460689500004"/>
    <n v="34.716760656163707"/>
    <n v="5045.7176405500004"/>
    <n v="1.3599112882733051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4254241134985148E-4"/>
    <n v="-2.4165603623723562"/>
    <n v="230.36432898299935"/>
    <n v="-1923.7608788470006"/>
    <n v="6.2087313186502069E-2"/>
    <n v="-0.51848801725604321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71032.85222057428"/>
    <n v="7313.6017500000016"/>
    <n v="3903.6421307379997"/>
    <n v="1.0521014803339663"/>
    <n v="35736.601400856998"/>
    <n v="52812.041632675006"/>
    <n v="14.233791244253197"/>
    <n v="5.7079368471036007E-2"/>
    <n v="0.10539392017347171"/>
    <n v="7.4183310197258878E-2"/>
    <n v="2922.0402642939998"/>
    <n v="0.78754219385319657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2978.3721936930001"/>
    <n v="33379.448716634601"/>
    <n v="1.3312519233109845"/>
    <n v="1.3683704928137468"/>
    <n v="1059.264582687"/>
    <n v="754.08388745499997"/>
    <n v="0.1464747217786575"/>
    <n v="5.2075379943076205E-2"/>
    <n v="281.95343630799999"/>
    <n v="7.599150172836508E-2"/>
    <n v="249.04789562899998"/>
    <n v="6.7122869077087602E-2"/>
    <n v="450.60053450700002"/>
    <n v="61.611303145813196"/>
    <n v="236.12768026200001"/>
    <n v="32.286100383029464"/>
    <n v="292.11236259599536"/>
    <n v="0"/>
    <n v="0"/>
    <n v="32.70930694197105"/>
    <n v="214.47285424500001"/>
    <n v="236.12768026200001"/>
    <n v="4788.5054456999997"/>
    <n v="1.2905879943087344"/>
    <n v="34941.530601218998"/>
    <n v="55129.714186687001"/>
    <n v="14.858445514122046"/>
    <n v="4593.3480764919996"/>
    <n v="1.2379895874452953"/>
    <n v="52042.386275974008"/>
    <n v="14.026355338754607"/>
    <n v="3551.3476816709995"/>
    <n v="0.95715181564563145"/>
    <n v="44637.708260102008"/>
    <n v="12.030661973178985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083777179966379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3848651397476794"/>
    <n v="-306.18672828971643"/>
    <n v="-0.6246542698688512"/>
    <n v="157.1370798590001"/>
    <n v="4.2351257824895815E-2"/>
    <n v="336.38564140400001"/>
    <n v="3755.8911823200006"/>
    <n v="6411.6724215620006"/>
    <n v="-0.47913379111317134"/>
    <n v="1.4361331054987936E-2"/>
    <n v="-0.19047105589802993"/>
    <n v="45.994525392909168"/>
    <n v="9.0661956048038311E-2"/>
    <n v="1.012279953066574"/>
    <n v="820.01602818491381"/>
    <n v="1.7280605701595242"/>
    <n v="223.53996425899999"/>
    <n v="30.56496264087663"/>
    <n v="475.9166031034398"/>
    <n v="0"/>
    <n v="0"/>
    <n v="112.84567714500002"/>
    <n v="15.42956275203254"/>
    <n v="5124.8910871039998"/>
    <n v="1.3812499503567726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2914847002280628"/>
    <n v="-2.3527148400283746"/>
    <n v="-179.24856154500003"/>
    <n v="-1324.6669597020011"/>
    <n v="-4.8310698223142531E-2"/>
    <n v="-0.35702147445275373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71032.85222057428"/>
    <n v="7158.7307499999988"/>
    <n v="4653.7604993000004"/>
    <n v="1.2542718175622354"/>
    <n v="40390.361900156997"/>
    <n v="53094.847893769002"/>
    <n v="14.310012597538075"/>
    <n v="5.7951993024510484E-2"/>
    <n v="6.4701263312716195E-2"/>
    <n v="7.0204409724605732E-2"/>
    <n v="3766.4111833680004"/>
    <n v="1.0151152817942162"/>
    <n v="31640.630633170003"/>
    <n v="41033.635404556007"/>
    <n v="8.8281186366596431E-2"/>
    <n v="9.7985089046840779E-2"/>
    <n v="0.11694094126769738"/>
    <n v="2331.1376156339998"/>
    <n v="24467.732058561003"/>
    <n v="0.10016889614436919"/>
    <n v="5.1462650020312584E-2"/>
    <n v="3745.7727219389999"/>
    <n v="35856.283374488601"/>
    <n v="1.4819466964533956"/>
    <n v="1.9518956267104999"/>
    <n v="1054.4996196349998"/>
    <n v="809.20806136599992"/>
    <n v="9.7996238122314949E-2"/>
    <n v="0.19105051060732747"/>
    <n v="285.21042628600003"/>
    <n v="7.6869318870029901E-2"/>
    <n v="174.76363641399999"/>
    <n v="4.7101930561691943E-2"/>
    <n v="427.37525323199998"/>
    <n v="59.699864145889279"/>
    <n v="209.01700781900001"/>
    <n v="29.19749535474568"/>
    <n v="321.30985795074105"/>
    <n v="0"/>
    <n v="0"/>
    <n v="32.70930694197105"/>
    <n v="218.35824541299996"/>
    <n v="209.01700781900001"/>
    <n v="4482.2836189119998"/>
    <n v="1.2080557266253447"/>
    <n v="39423.814220130997"/>
    <n v="55073.851830047999"/>
    <n v="14.843389608343172"/>
    <n v="4304.3173275680001"/>
    <n v="1.1600906231907298"/>
    <n v="52079.177527400003"/>
    <n v="14.036271240057093"/>
    <n v="3466.8761521169999"/>
    <n v="0.93438522528888801"/>
    <n v="44812.287768532013"/>
    <n v="12.077714277950697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570539790184185"/>
    <n v="7266.8897588680011"/>
    <n v="412.07858109100005"/>
    <n v="888.30987736700001"/>
    <n v="103.445403266"/>
    <n v="171.47688038800061"/>
    <n v="966.54768002600122"/>
    <n v="-1979.0039362790021"/>
    <n v="-2.0256301125345657"/>
    <n v="0.33562975442303089"/>
    <n v="-0.42368996642253209"/>
    <n v="23.953531202161869"/>
    <n v="4.6216090936890893E-2"/>
    <n v="-260.70055244932257"/>
    <n v="-0.53337701080509969"/>
    <n v="1008.9180558390007"/>
    <n v="0.27192148883873274"/>
    <n v="513.85940780199996"/>
    <n v="4269.7505901220002"/>
    <n v="6387.2714716770006"/>
    <n v="-4.5332987162300276E-2"/>
    <n v="6.7849882621684454E-3"/>
    <n v="-0.22049196949571703"/>
    <n v="71.780798265390828"/>
    <n v="0.13849431518708674"/>
    <n v="1.1507742682536608"/>
    <n v="822.47420806632579"/>
    <n v="1.7214840770703101"/>
    <n v="201.55502187799999"/>
    <n v="28.155133768370884"/>
    <n v="454.49098483369085"/>
    <n v="0"/>
    <n v="0"/>
    <n v="312.30438592399997"/>
    <n v="43.625664497019955"/>
    <n v="4996.1430267139995"/>
    <n v="1.3465500418124312"/>
    <n v="-342.38252741399936"/>
    <n v="-3303.202910095999"/>
    <n v="-8366.2754079560018"/>
    <n v="-47.827267063228973"/>
    <n v="-1083.1747605156484"/>
    <n v="-0.51466225726004944"/>
    <n v="-6.0872727566586016E-2"/>
    <n v="-0.28049989387366348"/>
    <n v="-9.227822425019587E-2"/>
    <n v="-2.2548610878754092"/>
    <n v="495.05864803700069"/>
    <n v="-1099.3856490880014"/>
    <n v="0.133427173651646"/>
    <n v="-0.29630412576901161"/>
    <n v="1825.1671916180001"/>
    <n v="1986.583760539"/>
    <n v="139.19999999999999"/>
    <n v="3343.2187494971272"/>
    <n v="38676.148176531708"/>
    <n v="2.9840326615179436E-2"/>
    <n v="2705.7551604655177"/>
    <n v="29877.326997072996"/>
    <n v="7.4780634791587142E-2"/>
    <n v="3220.0313354252876"/>
    <n v="40174.601973479963"/>
    <n v="-1.2710411037876179E-3"/>
    <n v="369.15187342097704"/>
    <n v="4670.9404714613947"/>
    <n v="-0.25080984463091949"/>
  </r>
  <r>
    <x v="273"/>
    <x v="9"/>
    <x v="9"/>
    <x v="22"/>
    <n v="371032.85222057428"/>
    <n v="7056.7143478260878"/>
    <n v="4124.468323352"/>
    <n v="1.1116180949119989"/>
    <n v="44514.830223508994"/>
    <n v="53242.088266336003"/>
    <n v="14.349696515467656"/>
    <n v="5.5977192761868855E-2"/>
    <n v="3.70208533151688E-2"/>
    <n v="6.1743298923027767E-2"/>
    <n v="3213.0607694200003"/>
    <n v="0.86597743304678498"/>
    <n v="34853.691402590004"/>
    <n v="41308.210133318003"/>
    <n v="9.3440882469027153E-2"/>
    <n v="9.7564591947468804E-2"/>
    <n v="0.10926362561489067"/>
    <n v="1636.3261261200005"/>
    <n v="24696.988412979001"/>
    <n v="0.10096607924496825"/>
    <n v="0.16293176005102472"/>
    <n v="3186.2487002310008"/>
    <n v="37549.272091375606"/>
    <n v="1.5433655738954712"/>
    <n v="1.1337534895268058"/>
    <n v="1068.6478779800002"/>
    <n v="822.69945653299999"/>
    <n v="0.16718982922298053"/>
    <n v="3.337492211946036E-2"/>
    <n v="276.06351512600003"/>
    <n v="7.4404062463418685E-2"/>
    <n v="134.94624963500002"/>
    <n v="3.6370431574284483E-2"/>
    <n v="500.397789171"/>
    <n v="70.910875020065674"/>
    <n v="209.13949019200001"/>
    <n v="29.63694998599853"/>
    <n v="350.94680793673956"/>
    <n v="0"/>
    <n v="0"/>
    <n v="32.70930694197105"/>
    <n v="291.25829897899996"/>
    <n v="209.13949019200001"/>
    <n v="4311.1393727060004"/>
    <n v="1.1619292865589927"/>
    <n v="43734.953592836995"/>
    <n v="55076.755434776998"/>
    <n v="14.844172181830025"/>
    <n v="4100.5042055860004"/>
    <n v="1.105159335903847"/>
    <n v="52157.746768385012"/>
    <n v="14.057447057916558"/>
    <n v="3677.1877764470005"/>
    <n v="0.99106797536649383"/>
    <n v="44978.402490748005"/>
    <n v="12.122485171207675"/>
    <n v="6.7396606995906438E-4"/>
    <n v="4.7231531014316097E-2"/>
    <n v="2.7998805069475274E-2"/>
    <n v="1880.7198028519997"/>
    <n v="18357.756091263"/>
    <n v="23489.747732869"/>
    <n v="6.5227113905655498E-2"/>
    <n v="8.8741621640713975E-2"/>
    <n v="8.3913770418182709E-2"/>
    <n v="1310.393557051"/>
    <n v="570.32624580099969"/>
    <n v="370.83733393400001"/>
    <n v="423.31642913899998"/>
    <n v="59.987751845079018"/>
    <n v="0.11409136053735311"/>
    <n v="7179.3442776370011"/>
    <n v="594.03439477400002"/>
    <n v="910.75635309900008"/>
    <n v="131.47505890799999"/>
    <n v="-186.67104935400039"/>
    <n v="779.87663067200083"/>
    <n v="-1834.6671684410012"/>
    <n v="-0.43605244450851832"/>
    <n v="0.98615457308642362"/>
    <n v="-0.46522987323251552"/>
    <n v="-26.452969491602964"/>
    <n v="-5.031119164699379E-2"/>
    <n v="-245.07632022145492"/>
    <n v="-0.49447566636237245"/>
    <n v="236.64537978499959"/>
    <n v="6.3780168890359326E-2"/>
    <n v="470.56536564200007"/>
    <n v="4740.3159557640001"/>
    <n v="6269.2950636229998"/>
    <n v="-0.20045545333701065"/>
    <n v="-1.8470052175515894E-2"/>
    <n v="-0.22833827696709241"/>
    <n v="66.683351833132349"/>
    <n v="0.12682579529703072"/>
    <n v="1.2776000635506914"/>
    <n v="814.34303998201108"/>
    <n v="1.6896873217835666"/>
    <n v="222.89000436000001"/>
    <n v="31.585521727780314"/>
    <n v="437.2114244902661"/>
    <n v="0"/>
    <n v="0"/>
    <n v="247.67536128200007"/>
    <n v="35.097830105352024"/>
    <n v="4781.7047383480003"/>
    <n v="1.2887550818560234"/>
    <n v="-657.23641499600046"/>
    <n v="-3960.4393250919993"/>
    <n v="-8103.9622320640019"/>
    <n v="-93.136321324735306"/>
    <n v="-1059.4193602034661"/>
    <n v="-0.285262674782648"/>
    <n v="-0.10737805916864807"/>
    <n v="-0.29867199525608701"/>
    <n v="-0.17713698694402452"/>
    <n v="-2.1841629881459395"/>
    <n v="-233.91998585700048"/>
    <n v="-924.61795442700077"/>
    <n v="-6.3045626406671412E-2"/>
    <n v="-0.24920110143705743"/>
    <n v="1834.1539011780001"/>
    <n v="1995.0964001509999"/>
    <n v="139"/>
    <n v="2967.243398094964"/>
    <n v="38664.194607746525"/>
    <n v="2.1147745315502009E-2"/>
    <n v="2311.554510374101"/>
    <n v="29987.768368377438"/>
    <n v="6.6828316905848562E-2"/>
    <n v="3101.5391170546764"/>
    <n v="40048.998193173597"/>
    <n v="-1.1682836052572032E-2"/>
    <n v="338.53623427482023"/>
    <n v="4568.6214445407104"/>
    <n v="-0.25893600939131856"/>
  </r>
  <r>
    <x v="274"/>
    <x v="10"/>
    <x v="10"/>
    <x v="22"/>
    <n v="371032.85222057428"/>
    <n v="7038.6822500000007"/>
    <n v="4683.901741052"/>
    <n v="1.2623954221356875"/>
    <n v="49198.731964560997"/>
    <n v="53467.999238208002"/>
    <n v="14.410583569139575"/>
    <n v="5.5470149923841028E-2"/>
    <n v="5.0675513604429012E-2"/>
    <n v="5.5373110870294839E-2"/>
    <n v="3755.4039654860003"/>
    <n v="1.0121486394022761"/>
    <n v="38609.095368076007"/>
    <n v="41508.918590889007"/>
    <n v="5.6462911415083639E-2"/>
    <n v="9.3426862427380186E-2"/>
    <n v="9.7965194588847559E-2"/>
    <n v="2376.2888578780003"/>
    <n v="24827.328143572002"/>
    <n v="8.6732734125946287E-2"/>
    <n v="5.8033251514721718E-2"/>
    <n v="3771.4076720160001"/>
    <n v="39967.378979864603"/>
    <n v="1.671501151090435"/>
    <n v="1.7868214649125385"/>
    <n v="1079.084929099"/>
    <n v="729.45619936399999"/>
    <n v="7.8040922226227716E-2"/>
    <n v="3.3713976348991981E-2"/>
    <n v="283.17408858099998"/>
    <n v="7.6320489381532339E-2"/>
    <n v="158.25599529300001"/>
    <n v="4.265282557753642E-2"/>
    <n v="487.06769169200004"/>
    <n v="69.198704301788865"/>
    <n v="206.70318490399998"/>
    <n v="29.366744734641198"/>
    <n v="380.31355267138076"/>
    <n v="32.160913525000012"/>
    <n v="4.5691668387218369"/>
    <n v="37.278473780692885"/>
    <n v="248.20359326300007"/>
    <n v="238.86409842899999"/>
    <n v="4839.3857586870008"/>
    <n v="1.3043011500798447"/>
    <n v="48574.339351523995"/>
    <n v="54598.814932552996"/>
    <n v="14.715358655113025"/>
    <n v="4591.7550011820013"/>
    <n v="1.237560225112428"/>
    <n v="51953.560685655008"/>
    <n v="14.002415251027228"/>
    <n v="3721.010474699001"/>
    <n v="1.0028789775431821"/>
    <n v="44931.479341763006"/>
    <n v="12.109838542019945"/>
    <n v="-8.9883614202397211E-2"/>
    <n v="3.1745349196032446E-2"/>
    <n v="-8.7366803384837377E-3"/>
    <n v="1884.7268043060003"/>
    <n v="20242.482895568999"/>
    <n v="23639.979286533002"/>
    <n v="8.6613989636693312E-2"/>
    <n v="8.8543171456588965E-2"/>
    <n v="7.7515254949604095E-2"/>
    <n v="1317.660882658"/>
    <n v="567.06592164800031"/>
    <n v="485.53758752100009"/>
    <n v="870.74452648300007"/>
    <n v="123.70845785558795"/>
    <n v="0.23468124756924588"/>
    <n v="7022.0813438920013"/>
    <n v="522.36695217399995"/>
    <n v="932.16964102100007"/>
    <n v="143.84024718199998"/>
    <n v="-155.48401763500078"/>
    <n v="624.39261303700005"/>
    <n v="-1130.8156943450012"/>
    <n v="-0.81906482493606558"/>
    <n v="-2.3379490185321687"/>
    <n v="-0.74400765496284227"/>
    <n v="-22.0899327619173"/>
    <n v="-4.1905727944157228E-2"/>
    <n v="-157.06678223341402"/>
    <n v="-0.30477508597345065"/>
    <n v="715.26050884799929"/>
    <n v="0.19277551962508863"/>
    <n v="589.86032436000005"/>
    <n v="5330.1762801240002"/>
    <n v="6140.6538681669999"/>
    <n v="-0.17904095107404017"/>
    <n v="-3.9264940709370255E-2"/>
    <n v="-0.22410565866776422"/>
    <n v="83.8026641080438"/>
    <n v="0.15897792360697366"/>
    <n v="1.4365779871576652"/>
    <n v="806.09011250098399"/>
    <n v="1.6550162152532144"/>
    <n v="304.49424108199997"/>
    <n v="43.260120327494526"/>
    <n v="431.21097557778916"/>
    <n v="0"/>
    <n v="0"/>
    <n v="285.36608327800008"/>
    <n v="40.542543780549266"/>
    <n v="5429.2460830470009"/>
    <n v="1.4632790736868184"/>
    <n v="-745.34434199500083"/>
    <n v="-4705.7836670870001"/>
    <n v="-7271.4695625120012"/>
    <n v="-105.8925968699611"/>
    <n v="-963.15689473439807"/>
    <n v="-0.52761639095775603"/>
    <n v="-0.21761927345040477"/>
    <n v="-0.41034196966051717"/>
    <n v="-0.20088365155113089"/>
    <n v="-1.9597913012266648"/>
    <n v="125.40018448799924"/>
    <n v="-249.38821862000088"/>
    <n v="3.3797596018114981E-2"/>
    <n v="-6.7214592219381905E-2"/>
    <n v="1834.652232571"/>
    <n v="1994.338090598"/>
    <n v="139.30000000000001"/>
    <n v="3362.4563826647523"/>
    <n v="38694.819324357457"/>
    <n v="1.4294064479182911E-2"/>
    <n v="2695.910958712132"/>
    <n v="30026.956227003619"/>
    <n v="5.5193756109182424E-2"/>
    <n v="3474.0744857767409"/>
    <n v="39548.987282155867"/>
    <n v="-4.8137978639715917E-2"/>
    <n v="423.44603328068916"/>
    <n v="4455.0708262399339"/>
    <n v="-0.25554157044606474"/>
  </r>
  <r>
    <x v="275"/>
    <x v="11"/>
    <x v="11"/>
    <x v="22"/>
    <n v="371032.85222057428"/>
    <n v="6725.0036842105264"/>
    <n v="4021.2598352159994"/>
    <n v="1.083801558581506"/>
    <n v="53219.991799776995"/>
    <n v="53219.991799776995"/>
    <n v="14.343741121915098"/>
    <n v="4.5941812439326268E-2"/>
    <n v="-5.8091335710434899E-2"/>
    <n v="4.5941812439326268E-2"/>
    <n v="2892.1682184659994"/>
    <n v="0.77949114240338013"/>
    <n v="41501.263586542009"/>
    <n v="41501.263586542009"/>
    <n v="-2.6398175884579933E-3"/>
    <n v="8.6136195257442205E-2"/>
    <n v="8.6136195257442205E-2"/>
    <n v="1580.0122070570001"/>
    <n v="24897.862971531005"/>
    <n v="7.8842933146415106E-2"/>
    <n v="4.6727979455478019E-2"/>
    <n v="2946.297544044"/>
    <n v="41483.486714650004"/>
    <n v="1.7301459509208779"/>
    <n v="1.0600744914909854"/>
    <n v="1075.7008836990001"/>
    <n v="684.73776055600001"/>
    <n v="9.9552500721513226E-2"/>
    <n v="-8.634152930922967E-2"/>
    <n v="281.59777971199998"/>
    <n v="7.5895645904852024E-2"/>
    <n v="169.23178386800001"/>
    <n v="4.561099720824556E-2"/>
    <n v="678.26205316999994"/>
    <n v="100.85675562713446"/>
    <n v="207.371597442"/>
    <n v="30.835908377103607"/>
    <n v="411.14946104848434"/>
    <n v="42.345634852000018"/>
    <n v="6.2967452272810363"/>
    <n v="43.575219007973921"/>
    <n v="428.5448208759999"/>
    <n v="249.71723229400001"/>
    <n v="6315.8324327639984"/>
    <n v="1.7022299763928499"/>
    <n v="54890.171784287995"/>
    <n v="54890.171784287995"/>
    <n v="14.793884545742728"/>
    <n v="6048.5784109689985"/>
    <n v="1.6302002301869474"/>
    <n v="52240.334146877001"/>
    <n v="14.079705835811215"/>
    <n v="5902.9174158059986"/>
    <n v="1.5909419827591951"/>
    <n v="45271.959148608999"/>
    <n v="12.201603948993551"/>
    <n v="4.8362193159596556E-2"/>
    <n v="3.3630467030618227E-2"/>
    <n v="3.3630467030618227E-2"/>
    <n v="3656.682650156999"/>
    <n v="23899.165545725999"/>
    <n v="23899.165545725999"/>
    <n v="7.6287427378092687E-2"/>
    <n v="8.6649931737567076E-2"/>
    <n v="8.6649931737567076E-2"/>
    <n v="1336.446888829"/>
    <n v="2320.2357613279992"/>
    <n v="263.35979146000005"/>
    <n v="145.660995163"/>
    <n v="21.659615667571146"/>
    <n v="3.9258247427752406E-2"/>
    <n v="6968.374998268001"/>
    <n v="636.48139008400005"/>
    <n v="1423.783847531"/>
    <n v="189.86375836900001"/>
    <n v="-2294.5725975479991"/>
    <n v="-1670.179984510999"/>
    <n v="-1670.179984510999"/>
    <n v="0.30729360606234368"/>
    <n v="-0.24830569334038455"/>
    <n v="-0.24830569334038455"/>
    <n v="-341.20019933005699"/>
    <n v="-0.61842841781134394"/>
    <n v="-273.53536538794128"/>
    <n v="-0.45014342382762873"/>
    <n v="-2148.9116023849992"/>
    <n v="-0.57917017038359142"/>
    <n v="433.36291846900002"/>
    <n v="5763.539198593"/>
    <n v="5763.539198593"/>
    <n v="-0.46529931874438468"/>
    <n v="-9.3568865392116729E-2"/>
    <n v="-9.3568865392116729E-2"/>
    <n v="64.440547368989897"/>
    <n v="0.11679906937495964"/>
    <n v="1.5533770565326246"/>
    <n v="766.75953625523846"/>
    <n v="1.5533770565326246"/>
    <n v="340.876623064"/>
    <n v="50.687945921031385"/>
    <n v="435.60413489976258"/>
    <n v="0"/>
    <n v="0"/>
    <n v="92.486295405000021"/>
    <n v="13.752601447958513"/>
    <n v="6749.1953512329983"/>
    <n v="1.8190290457678095"/>
    <n v="-2727.9355160169989"/>
    <n v="-7433.7191831039991"/>
    <n v="-7433.7191831039991"/>
    <n v="-405.64074669904682"/>
    <n v="-1040.2949016431796"/>
    <n v="6.3238302428723969E-2"/>
    <n v="-0.1336379104761094"/>
    <n v="-0.1336379104761094"/>
    <n v="-0.73522748718630349"/>
    <n v="-2.0035204803602538"/>
    <n v="-2582.2745208539991"/>
    <n v="-465.34418483599893"/>
    <n v="-0.69596923975855107"/>
    <n v="-0.12541859354258952"/>
    <n v="3522.902357038"/>
    <n v="3846.4920900120001"/>
    <n v="138.9"/>
    <n v="2895.0754753174942"/>
    <n v="38420.43134485164"/>
    <n v="5.7933650147761195E-3"/>
    <n v="2082.1945417321808"/>
    <n v="29956.349563974847"/>
    <n v="4.4253668052012474E-2"/>
    <n v="4547.0355887429787"/>
    <n v="39623.509447714721"/>
    <n v="-5.8847380503258551E-3"/>
    <n v="311.99634159035281"/>
    <n v="4165.3763081101688"/>
    <n v="-0.12546986547298611"/>
  </r>
  <r>
    <x v="276"/>
    <x v="0"/>
    <x v="0"/>
    <x v="23"/>
    <n v="400397.35011067067"/>
    <n v="6687.2633333333324"/>
    <n v="4101.4709384080006"/>
    <n v="1.0243501704679978"/>
    <n v="4101.4709384080006"/>
    <n v="53196.719207754999"/>
    <n v="13.285981836056434"/>
    <n v="-5.6421912902725468E-3"/>
    <n v="-5.6421912902725468E-3"/>
    <n v="3.8948069966465493E-2"/>
    <n v="3178.4616770540006"/>
    <n v="0.79382685129546116"/>
    <n v="3178.4616770540006"/>
    <n v="41509.404757092008"/>
    <n v="2.5679329687009478E-3"/>
    <n v="2.5679329687009478E-3"/>
    <n v="7.8766670742819622E-2"/>
    <n v="1951.074124924"/>
    <n v="25084.043134822001"/>
    <n v="8.3213191929177865E-2"/>
    <n v="0.10549084950051824"/>
    <n v="3158.1241627150002"/>
    <n v="41511.919190149005"/>
    <n v="1.4219201698911186"/>
    <n v="9.0847528576505354E-3"/>
    <n v="1251.9923255839999"/>
    <n v="635.38935582000011"/>
    <n v="8.0038250056337246E-2"/>
    <n v="-0.10795501815020014"/>
    <n v="300.65501816900002"/>
    <n v="7.5089162824353933E-2"/>
    <n v="169.22834761500002"/>
    <n v="4.2265101796559075E-2"/>
    <n v="453.12589557000007"/>
    <n v="67.759541232861096"/>
    <n v="228.11081871700003"/>
    <n v="34.11123614348471"/>
    <n v="34.11123614348471"/>
    <n v="0"/>
    <n v="0"/>
    <n v="0"/>
    <n v="225.01507685300004"/>
    <n v="228.11081871700003"/>
    <n v="4385.8614862040004"/>
    <n v="1.0953772508713504"/>
    <n v="4385.8614862040004"/>
    <n v="55301.857857523995"/>
    <n v="13.811744219145917"/>
    <n v="4191.3530665300004"/>
    <n v="1.0467984029793158"/>
    <n v="52603.686192585992"/>
    <n v="13.13787071219283"/>
    <n v="3645.6135262640005"/>
    <n v="0.91049891445493958"/>
    <n v="45645.755340982003"/>
    <n v="11.400114243604614"/>
    <n v="0.10359031256965667"/>
    <n v="0.10359031256965667"/>
    <n v="1.8897269595064436E-2"/>
    <n v="1867.0977532270001"/>
    <n v="1867.0977532270001"/>
    <n v="24045.956157563"/>
    <n v="8.5328141879591257E-2"/>
    <n v="8.5328141879591257E-2"/>
    <n v="8.5835844573768583E-2"/>
    <n v="1306.47086889"/>
    <n v="560.62688433700009"/>
    <n v="424.63473012100008"/>
    <n v="545.73954026600006"/>
    <n v="81.608800650290945"/>
    <n v="0.13629948852437621"/>
    <n v="6957.930851604001"/>
    <n v="530.35424681400002"/>
    <n v="930.92449418600006"/>
    <n v="87.110721589999997"/>
    <n v="-284.39054779599974"/>
    <n v="-284.39054779599974"/>
    <n v="-2105.1386497689987"/>
    <n v="-2.8887833134247272"/>
    <n v="-2.8887833134247272"/>
    <n v="-0.31511357871358969"/>
    <n v="-42.527194402294079"/>
    <n v="-7.1027080403352719E-2"/>
    <n v="-335.13947997616242"/>
    <n v="-0.52576238308948198"/>
    <n v="261.34899247000033"/>
    <n v="6.5272408121023501E-2"/>
    <n v="347.71265574099999"/>
    <n v="347.71265574099999"/>
    <n v="5731.2491327910011"/>
    <n v="-8.497324879907775E-2"/>
    <n v="-8.497324879907775E-2"/>
    <n v="-0.14477571187346894"/>
    <n v="51.996255928459028"/>
    <n v="8.6841897341451313E-2"/>
    <n v="8.6841897341451313E-2"/>
    <n v="770.60959954008933"/>
    <n v="1.4313903753875672"/>
    <n v="256.64275466399999"/>
    <n v="38.377844847942292"/>
    <n v="437.52046715652614"/>
    <n v="0"/>
    <n v="0"/>
    <n v="91.069901076999997"/>
    <n v="13.618411080516745"/>
    <n v="4733.5741419450005"/>
    <n v="1.1822191482128017"/>
    <n v="-632.10320353699967"/>
    <n v="-632.10320353699967"/>
    <n v="-7836.3877825599993"/>
    <n v="-94.523450330753093"/>
    <n v="-1105.7490795162516"/>
    <n v="1.7550473742567645"/>
    <n v="1.7550473742567645"/>
    <n v="-0.19833679894922218"/>
    <n v="-0.15786897774480402"/>
    <n v="-1.9571527584770492"/>
    <n v="-86.363663270999609"/>
    <n v="-878.45693095599847"/>
    <n v="-2.1569489220427784E-2"/>
    <n v="-0.21939628988882948"/>
    <n v="1853.2656568530001"/>
    <n v="2013.572335396"/>
    <n v="139.69999999999999"/>
    <n v="2935.9133417380108"/>
    <n v="38323.445031861716"/>
    <n v="-1.1192567304085799E-4"/>
    <n v="2275.2052090579818"/>
    <n v="29900.436753544593"/>
    <n v="3.8105187864652779E-2"/>
    <n v="3139.4856737322839"/>
    <n v="39840.807317794068"/>
    <n v="-1.9692595466326845E-2"/>
    <n v="248.89953882677167"/>
    <n v="4134.8620810964985"/>
    <n v="-0.17535724941856279"/>
  </r>
  <r>
    <x v="277"/>
    <x v="1"/>
    <x v="1"/>
    <x v="23"/>
    <n v="400397.35011067067"/>
    <n v="6525.67"/>
    <n v="3466.8068827940001"/>
    <n v="0.86584161504459689"/>
    <n v="7568.2778212020003"/>
    <n v="52811.533926575998"/>
    <n v="13.189781079215129"/>
    <n v="-5.1206143571686957E-2"/>
    <n v="-9.9996382334722744E-2"/>
    <n v="1.8647715408943277E-2"/>
    <n v="2634.1302261870005"/>
    <n v="0.65787903577756479"/>
    <n v="5812.5919032410011"/>
    <n v="41430.114598771004"/>
    <n v="-2.9221479566416853E-2"/>
    <n v="-1.209247468386776E-2"/>
    <n v="6.7183124833160468E-2"/>
    <m/>
    <n v="23634.871413481997"/>
    <n v="1.4032165112104256E-2"/>
    <n v="-1"/>
    <m/>
    <n v="38836.149689678008"/>
    <n v="1.0727994775820919"/>
    <n v="-1"/>
    <m/>
    <m/>
    <n v="-1"/>
    <n v="-1"/>
    <n v="277.72398811900001"/>
    <n v="6.9362094439994804E-2"/>
    <n v="72.962042918999998"/>
    <n v="1.8222409039129039E-2"/>
    <n v="481.99062556899997"/>
    <n v="73.860710941405245"/>
    <n v="232.885170598"/>
    <n v="35.687549416075285"/>
    <n v="69.798785559560002"/>
    <n v="72.164025960000004"/>
    <n v="11.058485329475747"/>
    <n v="11.058485329475747"/>
    <n v="176.94142901099997"/>
    <n v="305.04919655800001"/>
    <n v="4569.28245444"/>
    <n v="1.1411869866713755"/>
    <n v="8955.1439406440004"/>
    <n v="55786.629299740998"/>
    <n v="13.932816809182544"/>
    <n v="4411.024855095"/>
    <n v="1.1016618501285744"/>
    <n v="53080.739911497993"/>
    <n v="13.257015786150026"/>
    <n v="3705.1015556040002"/>
    <n v="0.92535616296658862"/>
    <n v="45783.726975963997"/>
    <n v="11.434572921950977"/>
    <n v="0.11868530670288546"/>
    <n v="0.11124114628045634"/>
    <n v="2.2494510904411458E-2"/>
    <n v="1950.015988376"/>
    <n v="3817.1137416030001"/>
    <n v="24213.561993874999"/>
    <n v="9.4033259470563069E-2"/>
    <n v="8.9757871335078843E-2"/>
    <n v="8.8020629807329165E-2"/>
    <n v="1358.5899463809999"/>
    <n v="591.42604199500011"/>
    <n v="392.22264952900002"/>
    <n v="705.92329949099997"/>
    <n v="108.17637108388871"/>
    <n v="0.1763056871619858"/>
    <n v="7297.0129355340005"/>
    <n v="442.81806623899996"/>
    <n v="984.76654522299998"/>
    <n v="93.535905581999984"/>
    <n v="-1102.4755716459999"/>
    <n v="-1386.8661194419997"/>
    <n v="-2975.0953731649988"/>
    <n v="3.7414460373579672"/>
    <n v="15.923169642375903"/>
    <n v="9.5962593229091731E-2"/>
    <n v="-168.94442588209333"/>
    <n v="-0.27534537162677858"/>
    <n v="-474.64178772591993"/>
    <n v="-0.74303572996741274"/>
    <n v="-396.55227215499997"/>
    <n v="-9.9039684464792818E-2"/>
    <n v="346.01908041499996"/>
    <n v="693.7317361559999"/>
    <n v="5169.3895037710008"/>
    <n v="-0.61887080639842529"/>
    <n v="-0.4613388162377734"/>
    <n v="-0.30374019324406543"/>
    <n v="53.024299484190891"/>
    <n v="8.6418923681527759E-2"/>
    <n v="0.17326082102297904"/>
    <n v="708.67602608540176"/>
    <n v="1.2910648640262405"/>
    <n v="281.37398980199998"/>
    <n v="43.118023099850284"/>
    <n v="428.31224912420919"/>
    <n v="0"/>
    <n v="0"/>
    <n v="64.645090612999979"/>
    <n v="9.9062763843406092"/>
    <n v="4915.3015348549998"/>
    <n v="1.2276059103529031"/>
    <n v="-1448.4946520609999"/>
    <n v="-2080.5978555979996"/>
    <n v="-8144.4848769359996"/>
    <n v="-221.96872536628422"/>
    <n v="-1183.3178138113217"/>
    <n v="0.27016639267575715"/>
    <n v="0.51887064245569636"/>
    <n v="-0.19672570313155124"/>
    <n v="-0.36176429530830634"/>
    <n v="-2.0341005939936534"/>
    <n v="-742.57135256999993"/>
    <n v="-847.47194140199895"/>
    <n v="-0.18545860814632056"/>
    <n v="-0.21165772979460426"/>
    <n v="1931.709774077"/>
    <n v="2094.5252784969998"/>
    <m/>
    <e v="#DIV/0!"/>
    <e v="#DIV/0!"/>
    <e v="#DIV/0!"/>
    <e v="#DIV/0!"/>
    <e v="#DIV/0!"/>
    <e v="#DIV/0!"/>
    <e v="#DIV/0!"/>
    <e v="#DIV/0!"/>
    <e v="#DIV/0!"/>
    <e v="#DIV/0!"/>
    <e v="#DIV/0!"/>
    <e v="#DIV/0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9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1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3">
      <pivotArea outline="0" fieldPosition="0">
        <references count="1">
          <reference field="4294967294" count="1">
            <x v="3"/>
          </reference>
        </references>
      </pivotArea>
    </format>
    <format dxfId="12">
      <pivotArea outline="0" fieldPosition="0">
        <references count="1">
          <reference field="4294967294" count="1">
            <x v="4"/>
          </reference>
        </references>
      </pivotArea>
    </format>
    <format dxfId="11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14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12">
    <i>
      <x v="18"/>
      <x v="12"/>
      <x v="1"/>
    </i>
    <i r="1">
      <x v="13"/>
      <x/>
    </i>
    <i>
      <x v="19"/>
      <x v="12"/>
      <x v="1"/>
    </i>
    <i r="1">
      <x v="13"/>
      <x/>
    </i>
    <i>
      <x v="20"/>
      <x v="12"/>
      <x v="1"/>
    </i>
    <i r="1">
      <x v="13"/>
      <x/>
    </i>
    <i>
      <x v="21"/>
      <x v="12"/>
      <x v="1"/>
    </i>
    <i r="1">
      <x v="13"/>
      <x/>
    </i>
    <i>
      <x v="22"/>
      <x v="12"/>
      <x v="1"/>
    </i>
    <i r="1">
      <x v="13"/>
      <x/>
    </i>
    <i>
      <x v="23"/>
      <x v="12"/>
      <x v="1"/>
    </i>
    <i r="1"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6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66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2">
    <i>
      <x v="18"/>
      <x v="10"/>
    </i>
    <i r="1">
      <x v="11"/>
    </i>
    <i>
      <x v="19"/>
      <x v="10"/>
    </i>
    <i r="1">
      <x v="11"/>
    </i>
    <i>
      <x v="20"/>
      <x v="10"/>
    </i>
    <i r="1">
      <x v="11"/>
    </i>
    <i>
      <x v="21"/>
      <x v="10"/>
    </i>
    <i r="1">
      <x v="11"/>
    </i>
    <i>
      <x v="22"/>
      <x v="10"/>
    </i>
    <i r="1">
      <x v="11"/>
    </i>
    <i>
      <x v="23"/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65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2">
    <i>
      <x v="18"/>
      <x v="10"/>
    </i>
    <i r="1">
      <x v="11"/>
    </i>
    <i>
      <x v="19"/>
      <x v="10"/>
    </i>
    <i r="1">
      <x v="11"/>
    </i>
    <i>
      <x v="20"/>
      <x v="10"/>
    </i>
    <i r="1">
      <x v="11"/>
    </i>
    <i>
      <x v="21"/>
      <x v="10"/>
    </i>
    <i r="1">
      <x v="11"/>
    </i>
    <i>
      <x v="22"/>
      <x v="10"/>
    </i>
    <i r="1">
      <x v="11"/>
    </i>
    <i>
      <x v="23"/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49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h="1"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0">
    <i>
      <x v="18"/>
      <x v="10"/>
    </i>
    <i r="1">
      <x v="11"/>
    </i>
    <i>
      <x v="19"/>
      <x v="10"/>
    </i>
    <i r="1">
      <x v="11"/>
    </i>
    <i>
      <x v="20"/>
      <x v="10"/>
    </i>
    <i r="1">
      <x v="11"/>
    </i>
    <i>
      <x v="21"/>
      <x v="10"/>
    </i>
    <i r="1">
      <x v="11"/>
    </i>
    <i>
      <x v="22"/>
      <x v="10"/>
    </i>
    <i r="1"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65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2">
    <i>
      <x v="18"/>
      <x v="10"/>
    </i>
    <i r="1">
      <x v="11"/>
    </i>
    <i>
      <x v="19"/>
      <x v="10"/>
    </i>
    <i r="1">
      <x v="11"/>
    </i>
    <i>
      <x v="20"/>
      <x v="10"/>
    </i>
    <i r="1">
      <x v="11"/>
    </i>
    <i>
      <x v="21"/>
      <x v="10"/>
    </i>
    <i r="1">
      <x v="11"/>
    </i>
    <i>
      <x v="22"/>
      <x v="10"/>
    </i>
    <i r="1">
      <x v="11"/>
    </i>
    <i>
      <x v="23"/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10">
      <pivotArea dataOnly="0" labelOnly="1" outline="0" axis="axisValues" fieldPosition="0"/>
    </format>
    <format dxfId="9">
      <pivotArea outline="0" fieldPosition="0">
        <references count="1">
          <reference field="4294967294" count="1">
            <x v="1"/>
          </reference>
        </references>
      </pivotArea>
    </format>
    <format dxfId="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14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49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h="1"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0">
    <i>
      <x v="18"/>
      <x v="10"/>
    </i>
    <i r="1">
      <x v="11"/>
    </i>
    <i>
      <x v="19"/>
      <x v="10"/>
    </i>
    <i r="1">
      <x v="11"/>
    </i>
    <i>
      <x v="20"/>
      <x v="10"/>
    </i>
    <i r="1">
      <x v="11"/>
    </i>
    <i>
      <x v="21"/>
      <x v="10"/>
    </i>
    <i r="1">
      <x v="11"/>
    </i>
    <i>
      <x v="22"/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 s="1"/>
        <i x="2"/>
        <i x="3"/>
        <i x="4"/>
        <i x="5"/>
        <i x="6"/>
        <i x="7"/>
        <i x="8"/>
        <i x="9"/>
        <i x="10"/>
        <i x="1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4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  <i x="23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6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3CBBE9F2-0143-498B-84B5-CBA752986CFA}" cache="SegmentaciónDeDatos_Mes" caption="Mes" columnCount="2" showCaption="0" style="SlicerStyleDark1" rowHeight="2349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0853D9D7-9D25-4B6C-A721-232791D9899D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F53" sqref="F53"/>
    </sheetView>
  </sheetViews>
  <sheetFormatPr baseColWidth="10" defaultColWidth="0" defaultRowHeight="14" zeroHeight="1"/>
  <cols>
    <col min="1" max="1" width="1.81640625" style="74" customWidth="1"/>
    <col min="2" max="2" width="26.1796875" style="74" customWidth="1"/>
    <col min="3" max="3" width="11.54296875" style="74" customWidth="1"/>
    <col min="4" max="4" width="12.26953125" style="74" customWidth="1"/>
    <col min="5" max="5" width="12.7265625" style="74" customWidth="1"/>
    <col min="6" max="6" width="23" style="74" customWidth="1"/>
    <col min="7" max="7" width="11.54296875" style="74" customWidth="1"/>
    <col min="8" max="8" width="13.26953125" style="74" customWidth="1"/>
    <col min="9" max="9" width="12.54296875" style="74" customWidth="1"/>
    <col min="10" max="10" width="3.453125" style="74" customWidth="1"/>
    <col min="11" max="11" width="2.7265625" style="74" customWidth="1"/>
    <col min="12" max="13" width="11.54296875" style="74" customWidth="1"/>
    <col min="14" max="257" width="11.54296875" style="74" hidden="1"/>
    <col min="258" max="258" width="20.7265625" style="74" hidden="1"/>
    <col min="259" max="259" width="11.54296875" style="74" hidden="1"/>
    <col min="260" max="261" width="12.26953125" style="74" hidden="1"/>
    <col min="262" max="262" width="21.7265625" style="74" hidden="1"/>
    <col min="263" max="513" width="11.54296875" style="74" hidden="1"/>
    <col min="514" max="514" width="20.7265625" style="74" hidden="1"/>
    <col min="515" max="515" width="11.54296875" style="74" hidden="1"/>
    <col min="516" max="517" width="12.26953125" style="74" hidden="1"/>
    <col min="518" max="518" width="21.7265625" style="74" hidden="1"/>
    <col min="519" max="769" width="11.54296875" style="74" hidden="1"/>
    <col min="770" max="770" width="20.7265625" style="74" hidden="1"/>
    <col min="771" max="771" width="11.54296875" style="74" hidden="1"/>
    <col min="772" max="773" width="12.26953125" style="74" hidden="1"/>
    <col min="774" max="774" width="21.7265625" style="74" hidden="1"/>
    <col min="775" max="1025" width="11.54296875" style="74" hidden="1"/>
    <col min="1026" max="1026" width="20.7265625" style="74" hidden="1"/>
    <col min="1027" max="1027" width="11.54296875" style="74" hidden="1"/>
    <col min="1028" max="1029" width="12.26953125" style="74" hidden="1"/>
    <col min="1030" max="1030" width="21.7265625" style="74" hidden="1"/>
    <col min="1031" max="1281" width="11.54296875" style="74" hidden="1"/>
    <col min="1282" max="1282" width="20.7265625" style="74" hidden="1"/>
    <col min="1283" max="1283" width="11.54296875" style="74" hidden="1"/>
    <col min="1284" max="1285" width="12.26953125" style="74" hidden="1"/>
    <col min="1286" max="1286" width="21.7265625" style="74" hidden="1"/>
    <col min="1287" max="1537" width="11.54296875" style="74" hidden="1"/>
    <col min="1538" max="1538" width="20.7265625" style="74" hidden="1"/>
    <col min="1539" max="1539" width="11.54296875" style="74" hidden="1"/>
    <col min="1540" max="1541" width="12.26953125" style="74" hidden="1"/>
    <col min="1542" max="1542" width="21.7265625" style="74" hidden="1"/>
    <col min="1543" max="1793" width="11.54296875" style="74" hidden="1"/>
    <col min="1794" max="1794" width="20.7265625" style="74" hidden="1"/>
    <col min="1795" max="1795" width="11.54296875" style="74" hidden="1"/>
    <col min="1796" max="1797" width="12.26953125" style="74" hidden="1"/>
    <col min="1798" max="1798" width="21.7265625" style="74" hidden="1"/>
    <col min="1799" max="2049" width="11.54296875" style="74" hidden="1"/>
    <col min="2050" max="2050" width="20.7265625" style="74" hidden="1"/>
    <col min="2051" max="2051" width="11.54296875" style="74" hidden="1"/>
    <col min="2052" max="2053" width="12.26953125" style="74" hidden="1"/>
    <col min="2054" max="2054" width="21.7265625" style="74" hidden="1"/>
    <col min="2055" max="2305" width="11.54296875" style="74" hidden="1"/>
    <col min="2306" max="2306" width="20.7265625" style="74" hidden="1"/>
    <col min="2307" max="2307" width="11.54296875" style="74" hidden="1"/>
    <col min="2308" max="2309" width="12.26953125" style="74" hidden="1"/>
    <col min="2310" max="2310" width="21.7265625" style="74" hidden="1"/>
    <col min="2311" max="2561" width="11.54296875" style="74" hidden="1"/>
    <col min="2562" max="2562" width="20.7265625" style="74" hidden="1"/>
    <col min="2563" max="2563" width="11.54296875" style="74" hidden="1"/>
    <col min="2564" max="2565" width="12.26953125" style="74" hidden="1"/>
    <col min="2566" max="2566" width="21.7265625" style="74" hidden="1"/>
    <col min="2567" max="2817" width="11.54296875" style="74" hidden="1"/>
    <col min="2818" max="2818" width="20.7265625" style="74" hidden="1"/>
    <col min="2819" max="2819" width="11.54296875" style="74" hidden="1"/>
    <col min="2820" max="2821" width="12.26953125" style="74" hidden="1"/>
    <col min="2822" max="2822" width="21.7265625" style="74" hidden="1"/>
    <col min="2823" max="3073" width="11.54296875" style="74" hidden="1"/>
    <col min="3074" max="3074" width="20.7265625" style="74" hidden="1"/>
    <col min="3075" max="3075" width="11.54296875" style="74" hidden="1"/>
    <col min="3076" max="3077" width="12.26953125" style="74" hidden="1"/>
    <col min="3078" max="3078" width="21.7265625" style="74" hidden="1"/>
    <col min="3079" max="3329" width="11.54296875" style="74" hidden="1"/>
    <col min="3330" max="3330" width="20.7265625" style="74" hidden="1"/>
    <col min="3331" max="3331" width="11.54296875" style="74" hidden="1"/>
    <col min="3332" max="3333" width="12.26953125" style="74" hidden="1"/>
    <col min="3334" max="3334" width="21.7265625" style="74" hidden="1"/>
    <col min="3335" max="3585" width="11.54296875" style="74" hidden="1"/>
    <col min="3586" max="3586" width="20.7265625" style="74" hidden="1"/>
    <col min="3587" max="3587" width="11.54296875" style="74" hidden="1"/>
    <col min="3588" max="3589" width="12.26953125" style="74" hidden="1"/>
    <col min="3590" max="3590" width="21.7265625" style="74" hidden="1"/>
    <col min="3591" max="3841" width="11.54296875" style="74" hidden="1"/>
    <col min="3842" max="3842" width="20.7265625" style="74" hidden="1"/>
    <col min="3843" max="3843" width="11.54296875" style="74" hidden="1"/>
    <col min="3844" max="3845" width="12.26953125" style="74" hidden="1"/>
    <col min="3846" max="3846" width="21.7265625" style="74" hidden="1"/>
    <col min="3847" max="4097" width="11.54296875" style="74" hidden="1"/>
    <col min="4098" max="4098" width="20.7265625" style="74" hidden="1"/>
    <col min="4099" max="4099" width="11.54296875" style="74" hidden="1"/>
    <col min="4100" max="4101" width="12.26953125" style="74" hidden="1"/>
    <col min="4102" max="4102" width="21.7265625" style="74" hidden="1"/>
    <col min="4103" max="4353" width="11.54296875" style="74" hidden="1"/>
    <col min="4354" max="4354" width="20.7265625" style="74" hidden="1"/>
    <col min="4355" max="4355" width="11.54296875" style="74" hidden="1"/>
    <col min="4356" max="4357" width="12.26953125" style="74" hidden="1"/>
    <col min="4358" max="4358" width="21.7265625" style="74" hidden="1"/>
    <col min="4359" max="4609" width="11.54296875" style="74" hidden="1"/>
    <col min="4610" max="4610" width="20.7265625" style="74" hidden="1"/>
    <col min="4611" max="4611" width="11.54296875" style="74" hidden="1"/>
    <col min="4612" max="4613" width="12.26953125" style="74" hidden="1"/>
    <col min="4614" max="4614" width="21.7265625" style="74" hidden="1"/>
    <col min="4615" max="4865" width="11.54296875" style="74" hidden="1"/>
    <col min="4866" max="4866" width="20.7265625" style="74" hidden="1"/>
    <col min="4867" max="4867" width="11.54296875" style="74" hidden="1"/>
    <col min="4868" max="4869" width="12.26953125" style="74" hidden="1"/>
    <col min="4870" max="4870" width="21.7265625" style="74" hidden="1"/>
    <col min="4871" max="5121" width="11.54296875" style="74" hidden="1"/>
    <col min="5122" max="5122" width="20.7265625" style="74" hidden="1"/>
    <col min="5123" max="5123" width="11.54296875" style="74" hidden="1"/>
    <col min="5124" max="5125" width="12.26953125" style="74" hidden="1"/>
    <col min="5126" max="5126" width="21.7265625" style="74" hidden="1"/>
    <col min="5127" max="5377" width="11.54296875" style="74" hidden="1"/>
    <col min="5378" max="5378" width="20.7265625" style="74" hidden="1"/>
    <col min="5379" max="5379" width="11.54296875" style="74" hidden="1"/>
    <col min="5380" max="5381" width="12.26953125" style="74" hidden="1"/>
    <col min="5382" max="5382" width="21.7265625" style="74" hidden="1"/>
    <col min="5383" max="5633" width="11.54296875" style="74" hidden="1"/>
    <col min="5634" max="5634" width="20.7265625" style="74" hidden="1"/>
    <col min="5635" max="5635" width="11.54296875" style="74" hidden="1"/>
    <col min="5636" max="5637" width="12.26953125" style="74" hidden="1"/>
    <col min="5638" max="5638" width="21.7265625" style="74" hidden="1"/>
    <col min="5639" max="5889" width="11.54296875" style="74" hidden="1"/>
    <col min="5890" max="5890" width="20.7265625" style="74" hidden="1"/>
    <col min="5891" max="5891" width="11.54296875" style="74" hidden="1"/>
    <col min="5892" max="5893" width="12.26953125" style="74" hidden="1"/>
    <col min="5894" max="5894" width="21.7265625" style="74" hidden="1"/>
    <col min="5895" max="6145" width="11.54296875" style="74" hidden="1"/>
    <col min="6146" max="6146" width="20.7265625" style="74" hidden="1"/>
    <col min="6147" max="6147" width="11.54296875" style="74" hidden="1"/>
    <col min="6148" max="6149" width="12.26953125" style="74" hidden="1"/>
    <col min="6150" max="6150" width="21.7265625" style="74" hidden="1"/>
    <col min="6151" max="6401" width="11.54296875" style="74" hidden="1"/>
    <col min="6402" max="6402" width="20.7265625" style="74" hidden="1"/>
    <col min="6403" max="6403" width="11.54296875" style="74" hidden="1"/>
    <col min="6404" max="6405" width="12.26953125" style="74" hidden="1"/>
    <col min="6406" max="6406" width="21.7265625" style="74" hidden="1"/>
    <col min="6407" max="6657" width="11.54296875" style="74" hidden="1"/>
    <col min="6658" max="6658" width="20.7265625" style="74" hidden="1"/>
    <col min="6659" max="6659" width="11.54296875" style="74" hidden="1"/>
    <col min="6660" max="6661" width="12.26953125" style="74" hidden="1"/>
    <col min="6662" max="6662" width="21.7265625" style="74" hidden="1"/>
    <col min="6663" max="6913" width="11.54296875" style="74" hidden="1"/>
    <col min="6914" max="6914" width="20.7265625" style="74" hidden="1"/>
    <col min="6915" max="6915" width="11.54296875" style="74" hidden="1"/>
    <col min="6916" max="6917" width="12.26953125" style="74" hidden="1"/>
    <col min="6918" max="6918" width="21.7265625" style="74" hidden="1"/>
    <col min="6919" max="7169" width="11.54296875" style="74" hidden="1"/>
    <col min="7170" max="7170" width="20.7265625" style="74" hidden="1"/>
    <col min="7171" max="7171" width="11.54296875" style="74" hidden="1"/>
    <col min="7172" max="7173" width="12.26953125" style="74" hidden="1"/>
    <col min="7174" max="7174" width="21.7265625" style="74" hidden="1"/>
    <col min="7175" max="7425" width="11.54296875" style="74" hidden="1"/>
    <col min="7426" max="7426" width="20.7265625" style="74" hidden="1"/>
    <col min="7427" max="7427" width="11.54296875" style="74" hidden="1"/>
    <col min="7428" max="7429" width="12.26953125" style="74" hidden="1"/>
    <col min="7430" max="7430" width="21.7265625" style="74" hidden="1"/>
    <col min="7431" max="7681" width="11.54296875" style="74" hidden="1"/>
    <col min="7682" max="7682" width="20.7265625" style="74" hidden="1"/>
    <col min="7683" max="7683" width="11.54296875" style="74" hidden="1"/>
    <col min="7684" max="7685" width="12.26953125" style="74" hidden="1"/>
    <col min="7686" max="7686" width="21.7265625" style="74" hidden="1"/>
    <col min="7687" max="7937" width="11.54296875" style="74" hidden="1"/>
    <col min="7938" max="7938" width="20.7265625" style="74" hidden="1"/>
    <col min="7939" max="7939" width="11.54296875" style="74" hidden="1"/>
    <col min="7940" max="7941" width="12.26953125" style="74" hidden="1"/>
    <col min="7942" max="7942" width="21.7265625" style="74" hidden="1"/>
    <col min="7943" max="8193" width="11.54296875" style="74" hidden="1"/>
    <col min="8194" max="8194" width="20.7265625" style="74" hidden="1"/>
    <col min="8195" max="8195" width="11.54296875" style="74" hidden="1"/>
    <col min="8196" max="8197" width="12.26953125" style="74" hidden="1"/>
    <col min="8198" max="8198" width="21.7265625" style="74" hidden="1"/>
    <col min="8199" max="8449" width="11.54296875" style="74" hidden="1"/>
    <col min="8450" max="8450" width="20.7265625" style="74" hidden="1"/>
    <col min="8451" max="8451" width="11.54296875" style="74" hidden="1"/>
    <col min="8452" max="8453" width="12.26953125" style="74" hidden="1"/>
    <col min="8454" max="8454" width="21.7265625" style="74" hidden="1"/>
    <col min="8455" max="8705" width="11.54296875" style="74" hidden="1"/>
    <col min="8706" max="8706" width="20.7265625" style="74" hidden="1"/>
    <col min="8707" max="8707" width="11.54296875" style="74" hidden="1"/>
    <col min="8708" max="8709" width="12.26953125" style="74" hidden="1"/>
    <col min="8710" max="8710" width="21.7265625" style="74" hidden="1"/>
    <col min="8711" max="8961" width="11.54296875" style="74" hidden="1"/>
    <col min="8962" max="8962" width="20.7265625" style="74" hidden="1"/>
    <col min="8963" max="8963" width="11.54296875" style="74" hidden="1"/>
    <col min="8964" max="8965" width="12.26953125" style="74" hidden="1"/>
    <col min="8966" max="8966" width="21.7265625" style="74" hidden="1"/>
    <col min="8967" max="9217" width="11.54296875" style="74" hidden="1"/>
    <col min="9218" max="9218" width="20.7265625" style="74" hidden="1"/>
    <col min="9219" max="9219" width="11.54296875" style="74" hidden="1"/>
    <col min="9220" max="9221" width="12.26953125" style="74" hidden="1"/>
    <col min="9222" max="9222" width="21.7265625" style="74" hidden="1"/>
    <col min="9223" max="9473" width="11.54296875" style="74" hidden="1"/>
    <col min="9474" max="9474" width="20.7265625" style="74" hidden="1"/>
    <col min="9475" max="9475" width="11.54296875" style="74" hidden="1"/>
    <col min="9476" max="9477" width="12.26953125" style="74" hidden="1"/>
    <col min="9478" max="9478" width="21.7265625" style="74" hidden="1"/>
    <col min="9479" max="9729" width="11.54296875" style="74" hidden="1"/>
    <col min="9730" max="9730" width="20.7265625" style="74" hidden="1"/>
    <col min="9731" max="9731" width="11.54296875" style="74" hidden="1"/>
    <col min="9732" max="9733" width="12.26953125" style="74" hidden="1"/>
    <col min="9734" max="9734" width="21.7265625" style="74" hidden="1"/>
    <col min="9735" max="9985" width="11.54296875" style="74" hidden="1"/>
    <col min="9986" max="9986" width="20.7265625" style="74" hidden="1"/>
    <col min="9987" max="9987" width="11.54296875" style="74" hidden="1"/>
    <col min="9988" max="9989" width="12.26953125" style="74" hidden="1"/>
    <col min="9990" max="9990" width="21.7265625" style="74" hidden="1"/>
    <col min="9991" max="10241" width="11.54296875" style="74" hidden="1"/>
    <col min="10242" max="10242" width="20.7265625" style="74" hidden="1"/>
    <col min="10243" max="10243" width="11.54296875" style="74" hidden="1"/>
    <col min="10244" max="10245" width="12.26953125" style="74" hidden="1"/>
    <col min="10246" max="10246" width="21.7265625" style="74" hidden="1"/>
    <col min="10247" max="10497" width="11.54296875" style="74" hidden="1"/>
    <col min="10498" max="10498" width="20.7265625" style="74" hidden="1"/>
    <col min="10499" max="10499" width="11.54296875" style="74" hidden="1"/>
    <col min="10500" max="10501" width="12.26953125" style="74" hidden="1"/>
    <col min="10502" max="10502" width="21.7265625" style="74" hidden="1"/>
    <col min="10503" max="10753" width="11.54296875" style="74" hidden="1"/>
    <col min="10754" max="10754" width="20.7265625" style="74" hidden="1"/>
    <col min="10755" max="10755" width="11.54296875" style="74" hidden="1"/>
    <col min="10756" max="10757" width="12.26953125" style="74" hidden="1"/>
    <col min="10758" max="10758" width="21.7265625" style="74" hidden="1"/>
    <col min="10759" max="11009" width="11.54296875" style="74" hidden="1"/>
    <col min="11010" max="11010" width="20.7265625" style="74" hidden="1"/>
    <col min="11011" max="11011" width="11.54296875" style="74" hidden="1"/>
    <col min="11012" max="11013" width="12.26953125" style="74" hidden="1"/>
    <col min="11014" max="11014" width="21.7265625" style="74" hidden="1"/>
    <col min="11015" max="11265" width="11.54296875" style="74" hidden="1"/>
    <col min="11266" max="11266" width="20.7265625" style="74" hidden="1"/>
    <col min="11267" max="11267" width="11.54296875" style="74" hidden="1"/>
    <col min="11268" max="11269" width="12.26953125" style="74" hidden="1"/>
    <col min="11270" max="11270" width="21.7265625" style="74" hidden="1"/>
    <col min="11271" max="11521" width="11.54296875" style="74" hidden="1"/>
    <col min="11522" max="11522" width="20.7265625" style="74" hidden="1"/>
    <col min="11523" max="11523" width="11.54296875" style="74" hidden="1"/>
    <col min="11524" max="11525" width="12.26953125" style="74" hidden="1"/>
    <col min="11526" max="11526" width="21.7265625" style="74" hidden="1"/>
    <col min="11527" max="11777" width="11.54296875" style="74" hidden="1"/>
    <col min="11778" max="11778" width="20.7265625" style="74" hidden="1"/>
    <col min="11779" max="11779" width="11.54296875" style="74" hidden="1"/>
    <col min="11780" max="11781" width="12.26953125" style="74" hidden="1"/>
    <col min="11782" max="11782" width="21.7265625" style="74" hidden="1"/>
    <col min="11783" max="12033" width="11.54296875" style="74" hidden="1"/>
    <col min="12034" max="12034" width="20.7265625" style="74" hidden="1"/>
    <col min="12035" max="12035" width="11.54296875" style="74" hidden="1"/>
    <col min="12036" max="12037" width="12.26953125" style="74" hidden="1"/>
    <col min="12038" max="12038" width="21.7265625" style="74" hidden="1"/>
    <col min="12039" max="12289" width="11.54296875" style="74" hidden="1"/>
    <col min="12290" max="12290" width="20.7265625" style="74" hidden="1"/>
    <col min="12291" max="12291" width="11.54296875" style="74" hidden="1"/>
    <col min="12292" max="12293" width="12.26953125" style="74" hidden="1"/>
    <col min="12294" max="12294" width="21.7265625" style="74" hidden="1"/>
    <col min="12295" max="12545" width="11.54296875" style="74" hidden="1"/>
    <col min="12546" max="12546" width="20.7265625" style="74" hidden="1"/>
    <col min="12547" max="12547" width="11.54296875" style="74" hidden="1"/>
    <col min="12548" max="12549" width="12.26953125" style="74" hidden="1"/>
    <col min="12550" max="12550" width="21.7265625" style="74" hidden="1"/>
    <col min="12551" max="12801" width="11.54296875" style="74" hidden="1"/>
    <col min="12802" max="12802" width="20.7265625" style="74" hidden="1"/>
    <col min="12803" max="12803" width="11.54296875" style="74" hidden="1"/>
    <col min="12804" max="12805" width="12.26953125" style="74" hidden="1"/>
    <col min="12806" max="12806" width="21.7265625" style="74" hidden="1"/>
    <col min="12807" max="13057" width="11.54296875" style="74" hidden="1"/>
    <col min="13058" max="13058" width="20.7265625" style="74" hidden="1"/>
    <col min="13059" max="13059" width="11.54296875" style="74" hidden="1"/>
    <col min="13060" max="13061" width="12.26953125" style="74" hidden="1"/>
    <col min="13062" max="13062" width="21.7265625" style="74" hidden="1"/>
    <col min="13063" max="13313" width="11.54296875" style="74" hidden="1"/>
    <col min="13314" max="13314" width="20.7265625" style="74" hidden="1"/>
    <col min="13315" max="13315" width="11.54296875" style="74" hidden="1"/>
    <col min="13316" max="13317" width="12.26953125" style="74" hidden="1"/>
    <col min="13318" max="13318" width="21.7265625" style="74" hidden="1"/>
    <col min="13319" max="13569" width="11.54296875" style="74" hidden="1"/>
    <col min="13570" max="13570" width="20.7265625" style="74" hidden="1"/>
    <col min="13571" max="13571" width="11.54296875" style="74" hidden="1"/>
    <col min="13572" max="13573" width="12.26953125" style="74" hidden="1"/>
    <col min="13574" max="13574" width="21.7265625" style="74" hidden="1"/>
    <col min="13575" max="13825" width="11.54296875" style="74" hidden="1"/>
    <col min="13826" max="13826" width="20.7265625" style="74" hidden="1"/>
    <col min="13827" max="13827" width="11.54296875" style="74" hidden="1"/>
    <col min="13828" max="13829" width="12.26953125" style="74" hidden="1"/>
    <col min="13830" max="13830" width="21.7265625" style="74" hidden="1"/>
    <col min="13831" max="14081" width="11.54296875" style="74" hidden="1"/>
    <col min="14082" max="14082" width="20.7265625" style="74" hidden="1"/>
    <col min="14083" max="14083" width="11.54296875" style="74" hidden="1"/>
    <col min="14084" max="14085" width="12.26953125" style="74" hidden="1"/>
    <col min="14086" max="14086" width="21.7265625" style="74" hidden="1"/>
    <col min="14087" max="14337" width="11.54296875" style="74" hidden="1"/>
    <col min="14338" max="14338" width="20.7265625" style="74" hidden="1"/>
    <col min="14339" max="14339" width="11.54296875" style="74" hidden="1"/>
    <col min="14340" max="14341" width="12.26953125" style="74" hidden="1"/>
    <col min="14342" max="14342" width="21.7265625" style="74" hidden="1"/>
    <col min="14343" max="14593" width="11.54296875" style="74" hidden="1"/>
    <col min="14594" max="14594" width="20.7265625" style="74" hidden="1"/>
    <col min="14595" max="14595" width="11.54296875" style="74" hidden="1"/>
    <col min="14596" max="14597" width="12.26953125" style="74" hidden="1"/>
    <col min="14598" max="14598" width="21.7265625" style="74" hidden="1"/>
    <col min="14599" max="14849" width="11.54296875" style="74" hidden="1"/>
    <col min="14850" max="14850" width="20.7265625" style="74" hidden="1"/>
    <col min="14851" max="14851" width="11.54296875" style="74" hidden="1"/>
    <col min="14852" max="14853" width="12.26953125" style="74" hidden="1"/>
    <col min="14854" max="14854" width="21.7265625" style="74" hidden="1"/>
    <col min="14855" max="15105" width="11.54296875" style="74" hidden="1"/>
    <col min="15106" max="15106" width="20.7265625" style="74" hidden="1"/>
    <col min="15107" max="15107" width="11.54296875" style="74" hidden="1"/>
    <col min="15108" max="15109" width="12.26953125" style="74" hidden="1"/>
    <col min="15110" max="15110" width="21.7265625" style="74" hidden="1"/>
    <col min="15111" max="15361" width="11.54296875" style="74" hidden="1"/>
    <col min="15362" max="15362" width="20.7265625" style="74" hidden="1"/>
    <col min="15363" max="15363" width="11.54296875" style="74" hidden="1"/>
    <col min="15364" max="15365" width="12.26953125" style="74" hidden="1"/>
    <col min="15366" max="15366" width="21.7265625" style="74" hidden="1"/>
    <col min="15367" max="15617" width="11.54296875" style="74" hidden="1"/>
    <col min="15618" max="15618" width="20.7265625" style="74" hidden="1"/>
    <col min="15619" max="15619" width="11.54296875" style="74" hidden="1"/>
    <col min="15620" max="15621" width="12.26953125" style="74" hidden="1"/>
    <col min="15622" max="15622" width="21.7265625" style="74" hidden="1"/>
    <col min="15623" max="15873" width="11.54296875" style="74" hidden="1"/>
    <col min="15874" max="15874" width="20.7265625" style="74" hidden="1"/>
    <col min="15875" max="15875" width="11.54296875" style="74" hidden="1"/>
    <col min="15876" max="15877" width="12.26953125" style="74" hidden="1"/>
    <col min="15878" max="15878" width="21.7265625" style="74" hidden="1"/>
    <col min="15879" max="16129" width="11.54296875" style="74" hidden="1"/>
    <col min="16130" max="16130" width="20.7265625" style="74" hidden="1"/>
    <col min="16131" max="16131" width="11.54296875" style="74" hidden="1"/>
    <col min="16132" max="16133" width="12.26953125" style="74" hidden="1"/>
    <col min="16134" max="16134" width="21.7265625" style="74" hidden="1"/>
    <col min="16135" max="16384" width="11.54296875" style="74" hidden="1"/>
  </cols>
  <sheetData>
    <row r="1" spans="2:13"/>
    <row r="2" spans="2:13" ht="21" customHeight="1">
      <c r="L2" s="188" t="s">
        <v>187</v>
      </c>
    </row>
    <row r="3" spans="2:13" ht="21" customHeight="1" thickBot="1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188</v>
      </c>
    </row>
    <row r="4" spans="2:13" ht="14.25" customHeight="1"/>
    <row r="5" spans="2:13">
      <c r="B5" s="237" t="s">
        <v>191</v>
      </c>
      <c r="C5" s="237"/>
      <c r="D5" s="237"/>
      <c r="E5" s="237"/>
      <c r="F5" s="237"/>
      <c r="G5" s="237"/>
      <c r="H5" s="237"/>
      <c r="I5" s="237"/>
      <c r="J5" s="237"/>
    </row>
    <row r="6" spans="2:13">
      <c r="B6" s="238" t="str">
        <f>Aux!$V$5</f>
        <v>Febrero 2026</v>
      </c>
      <c r="C6" s="238"/>
      <c r="D6" s="238"/>
      <c r="E6" s="238"/>
      <c r="F6" s="238"/>
      <c r="G6" s="238"/>
      <c r="H6" s="238"/>
      <c r="I6" s="238"/>
      <c r="J6" s="238"/>
    </row>
    <row r="7" spans="2:13" ht="23.25" customHeight="1">
      <c r="M7" s="74" t="s">
        <v>207</v>
      </c>
    </row>
    <row r="8" spans="2:13">
      <c r="L8" s="175"/>
    </row>
    <row r="9" spans="2:13" ht="14.5" thickBot="1">
      <c r="F9" s="75"/>
      <c r="G9" s="224" t="str">
        <f>Aux!W6</f>
        <v>ene-feb 2025</v>
      </c>
      <c r="H9" s="224" t="str">
        <f>Aux!W5</f>
        <v>ene-feb 2026</v>
      </c>
      <c r="I9" s="76" t="s">
        <v>138</v>
      </c>
    </row>
    <row r="10" spans="2:13" ht="14.5" thickBot="1">
      <c r="F10" s="77" t="s">
        <v>98</v>
      </c>
      <c r="G10" s="78">
        <f>'CA Informe'!U13</f>
        <v>7976.7356944030007</v>
      </c>
      <c r="H10" s="78">
        <f>'CA Informe'!T13</f>
        <v>7568.2778212020003</v>
      </c>
      <c r="I10" s="79">
        <f>+H10/G10-1</f>
        <v>-5.1206143571686957E-2</v>
      </c>
    </row>
    <row r="11" spans="2:13">
      <c r="F11" s="80" t="str">
        <f>+'1'!A13</f>
        <v xml:space="preserve">Ingresos Tributarios </v>
      </c>
      <c r="G11" s="81">
        <f>'CA Informe'!U14</f>
        <v>5883.7408910120012</v>
      </c>
      <c r="H11" s="81">
        <f>'CA Informe'!T14</f>
        <v>5812.5919032410011</v>
      </c>
      <c r="I11" s="82">
        <f>+H11/G11-1</f>
        <v>-1.209247468386776E-2</v>
      </c>
    </row>
    <row r="12" spans="2:13">
      <c r="F12" s="80" t="str">
        <f>+'1'!A15</f>
        <v>Contribuciones sociales</v>
      </c>
      <c r="G12" s="81">
        <f>'CA Informe'!U17</f>
        <v>550.61952995699994</v>
      </c>
      <c r="H12" s="81">
        <f>'CA Informe'!T17</f>
        <v>578.37900628800003</v>
      </c>
      <c r="I12" s="82">
        <f>+H12/G12-1</f>
        <v>5.0414986793454242E-2</v>
      </c>
    </row>
    <row r="13" spans="2:13">
      <c r="F13" s="83" t="str">
        <f>+'1'!A17</f>
        <v>Donaciones</v>
      </c>
      <c r="G13" s="84">
        <f>'CA Informe'!U18</f>
        <v>249.80122824</v>
      </c>
      <c r="H13" s="84">
        <f>'CA Informe'!T18</f>
        <v>242.19039053400002</v>
      </c>
      <c r="I13" s="85">
        <f>+H13/G13-1</f>
        <v>-3.0467575198180219E-2</v>
      </c>
    </row>
    <row r="14" spans="2:13">
      <c r="F14" s="86" t="str">
        <f>+'1'!A27</f>
        <v>Otros ingresos</v>
      </c>
      <c r="G14" s="87">
        <f>'CA Informe'!U19</f>
        <v>1292.5740451939998</v>
      </c>
      <c r="H14" s="215">
        <f>'CA Informe'!T19</f>
        <v>935.11652113900004</v>
      </c>
      <c r="I14" s="88">
        <f>+H14/G14-1</f>
        <v>-0.27654703835659156</v>
      </c>
    </row>
    <row r="15" spans="2:13">
      <c r="F15" s="89" t="s">
        <v>139</v>
      </c>
    </row>
    <row r="16" spans="2:13"/>
    <row r="17" spans="2:14"/>
    <row r="18" spans="2:14"/>
    <row r="19" spans="2:14"/>
    <row r="20" spans="2:14"/>
    <row r="21" spans="2:14"/>
    <row r="22" spans="2:14"/>
    <row r="23" spans="2:14"/>
    <row r="24" spans="2:14"/>
    <row r="25" spans="2:14"/>
    <row r="26" spans="2:14"/>
    <row r="27" spans="2:14"/>
    <row r="28" spans="2:14"/>
    <row r="29" spans="2:14"/>
    <row r="30" spans="2:14" ht="14.5" thickBot="1">
      <c r="C30" s="224" t="str">
        <f>Aux!W6</f>
        <v>ene-feb 2025</v>
      </c>
      <c r="D30" s="224" t="str">
        <f>Aux!W5</f>
        <v>ene-feb 2026</v>
      </c>
      <c r="E30" s="90" t="s">
        <v>138</v>
      </c>
    </row>
    <row r="31" spans="2:14" ht="14.5" thickBot="1">
      <c r="B31" s="91" t="s">
        <v>140</v>
      </c>
      <c r="C31" s="91">
        <f>'CA Informe'!U20</f>
        <v>8058.686425191001</v>
      </c>
      <c r="D31" s="91">
        <f>'CA Informe'!T20</f>
        <v>8955.1439406440004</v>
      </c>
      <c r="E31" s="92">
        <f>+D31/C31-1</f>
        <v>0.11124114628045634</v>
      </c>
      <c r="N31" s="169"/>
    </row>
    <row r="32" spans="2:14">
      <c r="B32" s="94" t="str">
        <f>+'1'!A37</f>
        <v>Remuneración a los empleados</v>
      </c>
      <c r="C32" s="95">
        <f>'CA Informe'!U21</f>
        <v>3502.7172934540004</v>
      </c>
      <c r="D32" s="95">
        <f>'CA Informe'!T21</f>
        <v>3817.1137416030001</v>
      </c>
      <c r="E32" s="96">
        <f t="shared" ref="E32:E37" si="0">+D32/C32-1</f>
        <v>8.9757871335078843E-2</v>
      </c>
      <c r="F32" s="93"/>
    </row>
    <row r="33" spans="2:15">
      <c r="B33" s="84" t="str">
        <f>+'1'!A38</f>
        <v>Uso de bienes y servicios</v>
      </c>
      <c r="C33" s="223">
        <f>'CA Informe'!U22</f>
        <v>1015.179560712</v>
      </c>
      <c r="D33" s="84">
        <f>'CA Informe'!T22</f>
        <v>816.8573796500001</v>
      </c>
      <c r="E33" s="85">
        <f t="shared" si="0"/>
        <v>-0.19535675139371989</v>
      </c>
      <c r="F33" s="85"/>
    </row>
    <row r="34" spans="2:15">
      <c r="B34" s="84" t="str">
        <f>+'1'!A43</f>
        <v>Intereses</v>
      </c>
      <c r="C34" s="84">
        <f>'CA Informe'!U23</f>
        <v>923.02490249100003</v>
      </c>
      <c r="D34" s="84">
        <f>'CA Informe'!T23</f>
        <v>1251.662839757</v>
      </c>
      <c r="E34" s="85">
        <f t="shared" si="0"/>
        <v>0.35604449715180286</v>
      </c>
      <c r="F34" s="85"/>
      <c r="L34" s="169"/>
      <c r="M34" s="169"/>
    </row>
    <row r="35" spans="2:15" ht="19.149999999999999" customHeight="1">
      <c r="B35" s="84" t="str">
        <f>+'1'!A47</f>
        <v>Donaciones</v>
      </c>
      <c r="C35" s="84">
        <f>'CA Informe'!U24</f>
        <v>759.67566695499988</v>
      </c>
      <c r="D35" s="84">
        <f>'CA Informe'!T24</f>
        <v>973.17231305299993</v>
      </c>
      <c r="E35" s="85">
        <f t="shared" si="0"/>
        <v>0.28103657308619145</v>
      </c>
      <c r="F35" s="85"/>
      <c r="M35" s="169"/>
    </row>
    <row r="36" spans="2:15">
      <c r="B36" s="84" t="str">
        <f>+'1'!A57</f>
        <v>Prestaciones sociales</v>
      </c>
      <c r="C36" s="84">
        <f>'CA Informe'!U25</f>
        <v>1680.8681596179999</v>
      </c>
      <c r="D36" s="84">
        <f>'CA Informe'!T25</f>
        <v>1915.691039409</v>
      </c>
      <c r="E36" s="85">
        <f t="shared" si="0"/>
        <v>0.1397033303577877</v>
      </c>
      <c r="F36" s="85"/>
      <c r="L36" s="169"/>
      <c r="M36" s="169"/>
      <c r="N36" s="169"/>
    </row>
    <row r="37" spans="2:15">
      <c r="B37" s="97" t="str">
        <f>+'1'!A61</f>
        <v>Otros gastos</v>
      </c>
      <c r="C37" s="97">
        <f>'CA Informe'!U26</f>
        <v>177.22084196100002</v>
      </c>
      <c r="D37" s="97">
        <f>'CA Informe'!T26</f>
        <v>180.64662717199997</v>
      </c>
      <c r="E37" s="98">
        <f t="shared" si="0"/>
        <v>1.9330600019120903E-2</v>
      </c>
      <c r="F37" s="85"/>
      <c r="M37" s="169"/>
      <c r="N37" s="169"/>
    </row>
    <row r="38" spans="2:15">
      <c r="B38" s="99" t="s">
        <v>141</v>
      </c>
      <c r="F38" s="85"/>
      <c r="M38" s="169"/>
      <c r="N38" s="169"/>
    </row>
    <row r="39" spans="2:15" ht="15">
      <c r="F39" s="75"/>
      <c r="H39" s="179"/>
      <c r="I39" s="180"/>
      <c r="M39" s="169"/>
      <c r="N39" s="169"/>
    </row>
    <row r="40" spans="2:15" ht="15">
      <c r="H40" s="179"/>
      <c r="I40" s="180"/>
      <c r="M40" s="169"/>
      <c r="N40" s="169"/>
      <c r="O40" s="169"/>
    </row>
    <row r="41" spans="2:15" ht="15">
      <c r="H41" s="179"/>
      <c r="I41" s="180"/>
      <c r="L41" s="169"/>
      <c r="M41" s="169"/>
      <c r="N41" s="169"/>
    </row>
    <row r="42" spans="2:15" ht="15">
      <c r="H42" s="181"/>
      <c r="I42" s="180"/>
      <c r="M42" s="169"/>
      <c r="N42" s="169"/>
    </row>
    <row r="43" spans="2:15" ht="15">
      <c r="H43" s="179"/>
      <c r="I43" s="180"/>
      <c r="M43" s="169"/>
      <c r="N43" s="169"/>
    </row>
    <row r="44" spans="2:15">
      <c r="M44" s="169"/>
      <c r="N44" s="169"/>
    </row>
    <row r="45" spans="2:15">
      <c r="M45" s="169"/>
      <c r="N45" s="169"/>
    </row>
    <row r="46" spans="2:15"/>
    <row r="47" spans="2:15">
      <c r="M47" s="169"/>
    </row>
    <row r="48" spans="2:15">
      <c r="M48" s="169"/>
      <c r="N48" s="169"/>
    </row>
    <row r="49" spans="8:10"/>
    <row r="50" spans="8:10"/>
    <row r="51" spans="8:10"/>
    <row r="52" spans="8:10"/>
    <row r="53" spans="8:10">
      <c r="J53" s="178"/>
    </row>
    <row r="54" spans="8:10" hidden="1">
      <c r="J54" s="178"/>
    </row>
    <row r="55" spans="8:10" hidden="1">
      <c r="J55" s="178"/>
    </row>
    <row r="56" spans="8:10" hidden="1">
      <c r="J56" s="178"/>
    </row>
    <row r="57" spans="8:10" hidden="1">
      <c r="J57" s="178"/>
    </row>
    <row r="58" spans="8:10" ht="15" hidden="1">
      <c r="H58" s="177"/>
      <c r="I58" s="177"/>
      <c r="J58" s="178"/>
    </row>
    <row r="59" spans="8:10" ht="15" hidden="1">
      <c r="H59" s="177"/>
      <c r="I59" s="177"/>
      <c r="J59" s="178"/>
    </row>
    <row r="60" spans="8:10" ht="15" hidden="1">
      <c r="H60" s="177"/>
      <c r="I60" s="177"/>
      <c r="J60" s="178"/>
    </row>
    <row r="61" spans="8:10" ht="15" hidden="1">
      <c r="H61" s="177"/>
      <c r="I61" s="177"/>
      <c r="J61" s="178"/>
    </row>
    <row r="62" spans="8:10" ht="15" hidden="1">
      <c r="H62" s="177"/>
      <c r="I62" s="177"/>
      <c r="J62" s="178"/>
    </row>
    <row r="63" spans="8:10" ht="15" hidden="1">
      <c r="H63" s="177"/>
      <c r="I63" s="177"/>
      <c r="J63" s="178"/>
    </row>
    <row r="64" spans="8:10" ht="15" hidden="1">
      <c r="H64" s="177"/>
      <c r="I64" s="177"/>
      <c r="J64" s="178"/>
    </row>
    <row r="65" spans="8:10" ht="15" hidden="1">
      <c r="H65" s="177"/>
      <c r="I65" s="177"/>
      <c r="J65" s="178"/>
    </row>
    <row r="66" spans="8:10" ht="15" hidden="1">
      <c r="H66" s="177"/>
      <c r="I66" s="177"/>
      <c r="J66" s="178"/>
    </row>
    <row r="67" spans="8:10" ht="14.5" hidden="1">
      <c r="H67" s="176"/>
      <c r="I67" s="176"/>
    </row>
    <row r="68" spans="8:10" ht="14.5" hidden="1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22" activePane="bottomLeft" state="frozen"/>
      <selection activeCell="K15" sqref="K15"/>
      <selection pane="bottomLeft" activeCell="J1" sqref="J1"/>
    </sheetView>
  </sheetViews>
  <sheetFormatPr baseColWidth="10" defaultColWidth="0" defaultRowHeight="14" zeroHeight="1" outlineLevelRow="2"/>
  <cols>
    <col min="1" max="1" width="53.7265625" style="104" customWidth="1"/>
    <col min="2" max="2" width="12.26953125" style="104" bestFit="1" customWidth="1"/>
    <col min="3" max="3" width="11.453125" style="137" customWidth="1"/>
    <col min="4" max="4" width="9.7265625" style="104" bestFit="1" customWidth="1"/>
    <col min="5" max="5" width="12.26953125" style="104" bestFit="1" customWidth="1"/>
    <col min="6" max="6" width="10.81640625" style="111" customWidth="1"/>
    <col min="7" max="7" width="9.453125" style="104" customWidth="1"/>
    <col min="8" max="8" width="9.81640625" style="104" customWidth="1"/>
    <col min="9" max="9" width="3.54296875" style="104" customWidth="1"/>
    <col min="10" max="10" width="17.7265625" style="104" bestFit="1" customWidth="1"/>
    <col min="11" max="256" width="12.26953125" style="104" hidden="1"/>
    <col min="257" max="257" width="53.7265625" style="104" hidden="1"/>
    <col min="258" max="258" width="12.26953125" style="104" hidden="1"/>
    <col min="259" max="259" width="10.54296875" style="104" hidden="1"/>
    <col min="260" max="260" width="9.7265625" style="104" hidden="1"/>
    <col min="261" max="261" width="12.26953125" style="104" hidden="1"/>
    <col min="262" max="262" width="9.26953125" style="104" hidden="1"/>
    <col min="263" max="263" width="8.26953125" style="104" hidden="1"/>
    <col min="264" max="264" width="9.1796875" style="104" hidden="1"/>
    <col min="265" max="265" width="14" style="104" hidden="1"/>
    <col min="266" max="266" width="17.7265625" style="104" hidden="1"/>
    <col min="267" max="512" width="12.26953125" style="104" hidden="1"/>
    <col min="513" max="513" width="53.7265625" style="104" hidden="1"/>
    <col min="514" max="514" width="12.26953125" style="104" hidden="1"/>
    <col min="515" max="515" width="10.54296875" style="104" hidden="1"/>
    <col min="516" max="516" width="9.7265625" style="104" hidden="1"/>
    <col min="517" max="517" width="12.26953125" style="104" hidden="1"/>
    <col min="518" max="518" width="9.26953125" style="104" hidden="1"/>
    <col min="519" max="519" width="8.26953125" style="104" hidden="1"/>
    <col min="520" max="520" width="9.1796875" style="104" hidden="1"/>
    <col min="521" max="521" width="14" style="104" hidden="1"/>
    <col min="522" max="522" width="17.7265625" style="104" hidden="1"/>
    <col min="523" max="768" width="12.26953125" style="104" hidden="1"/>
    <col min="769" max="769" width="53.7265625" style="104" hidden="1"/>
    <col min="770" max="770" width="12.26953125" style="104" hidden="1"/>
    <col min="771" max="771" width="10.54296875" style="104" hidden="1"/>
    <col min="772" max="772" width="9.7265625" style="104" hidden="1"/>
    <col min="773" max="773" width="12.26953125" style="104" hidden="1"/>
    <col min="774" max="774" width="9.26953125" style="104" hidden="1"/>
    <col min="775" max="775" width="8.26953125" style="104" hidden="1"/>
    <col min="776" max="776" width="9.1796875" style="104" hidden="1"/>
    <col min="777" max="777" width="14" style="104" hidden="1"/>
    <col min="778" max="778" width="17.7265625" style="104" hidden="1"/>
    <col min="779" max="1024" width="12.26953125" style="104" hidden="1"/>
    <col min="1025" max="1025" width="53.7265625" style="104" hidden="1"/>
    <col min="1026" max="1026" width="12.26953125" style="104" hidden="1"/>
    <col min="1027" max="1027" width="10.54296875" style="104" hidden="1"/>
    <col min="1028" max="1028" width="9.7265625" style="104" hidden="1"/>
    <col min="1029" max="1029" width="12.26953125" style="104" hidden="1"/>
    <col min="1030" max="1030" width="9.26953125" style="104" hidden="1"/>
    <col min="1031" max="1031" width="8.26953125" style="104" hidden="1"/>
    <col min="1032" max="1032" width="9.1796875" style="104" hidden="1"/>
    <col min="1033" max="1033" width="14" style="104" hidden="1"/>
    <col min="1034" max="1034" width="17.7265625" style="104" hidden="1"/>
    <col min="1035" max="1280" width="12.26953125" style="104" hidden="1"/>
    <col min="1281" max="1281" width="53.7265625" style="104" hidden="1"/>
    <col min="1282" max="1282" width="12.26953125" style="104" hidden="1"/>
    <col min="1283" max="1283" width="10.54296875" style="104" hidden="1"/>
    <col min="1284" max="1284" width="9.7265625" style="104" hidden="1"/>
    <col min="1285" max="1285" width="12.26953125" style="104" hidden="1"/>
    <col min="1286" max="1286" width="9.26953125" style="104" hidden="1"/>
    <col min="1287" max="1287" width="8.26953125" style="104" hidden="1"/>
    <col min="1288" max="1288" width="9.1796875" style="104" hidden="1"/>
    <col min="1289" max="1289" width="14" style="104" hidden="1"/>
    <col min="1290" max="1290" width="17.7265625" style="104" hidden="1"/>
    <col min="1291" max="1536" width="12.26953125" style="104" hidden="1"/>
    <col min="1537" max="1537" width="53.7265625" style="104" hidden="1"/>
    <col min="1538" max="1538" width="12.26953125" style="104" hidden="1"/>
    <col min="1539" max="1539" width="10.54296875" style="104" hidden="1"/>
    <col min="1540" max="1540" width="9.7265625" style="104" hidden="1"/>
    <col min="1541" max="1541" width="12.26953125" style="104" hidden="1"/>
    <col min="1542" max="1542" width="9.26953125" style="104" hidden="1"/>
    <col min="1543" max="1543" width="8.26953125" style="104" hidden="1"/>
    <col min="1544" max="1544" width="9.1796875" style="104" hidden="1"/>
    <col min="1545" max="1545" width="14" style="104" hidden="1"/>
    <col min="1546" max="1546" width="17.7265625" style="104" hidden="1"/>
    <col min="1547" max="1792" width="12.26953125" style="104" hidden="1"/>
    <col min="1793" max="1793" width="53.7265625" style="104" hidden="1"/>
    <col min="1794" max="1794" width="12.26953125" style="104" hidden="1"/>
    <col min="1795" max="1795" width="10.54296875" style="104" hidden="1"/>
    <col min="1796" max="1796" width="9.7265625" style="104" hidden="1"/>
    <col min="1797" max="1797" width="12.26953125" style="104" hidden="1"/>
    <col min="1798" max="1798" width="9.26953125" style="104" hidden="1"/>
    <col min="1799" max="1799" width="8.26953125" style="104" hidden="1"/>
    <col min="1800" max="1800" width="9.1796875" style="104" hidden="1"/>
    <col min="1801" max="1801" width="14" style="104" hidden="1"/>
    <col min="1802" max="1802" width="17.7265625" style="104" hidden="1"/>
    <col min="1803" max="2048" width="12.26953125" style="104" hidden="1"/>
    <col min="2049" max="2049" width="53.7265625" style="104" hidden="1"/>
    <col min="2050" max="2050" width="12.26953125" style="104" hidden="1"/>
    <col min="2051" max="2051" width="10.54296875" style="104" hidden="1"/>
    <col min="2052" max="2052" width="9.7265625" style="104" hidden="1"/>
    <col min="2053" max="2053" width="12.26953125" style="104" hidden="1"/>
    <col min="2054" max="2054" width="9.26953125" style="104" hidden="1"/>
    <col min="2055" max="2055" width="8.26953125" style="104" hidden="1"/>
    <col min="2056" max="2056" width="9.1796875" style="104" hidden="1"/>
    <col min="2057" max="2057" width="14" style="104" hidden="1"/>
    <col min="2058" max="2058" width="17.7265625" style="104" hidden="1"/>
    <col min="2059" max="2304" width="12.26953125" style="104" hidden="1"/>
    <col min="2305" max="2305" width="53.7265625" style="104" hidden="1"/>
    <col min="2306" max="2306" width="12.26953125" style="104" hidden="1"/>
    <col min="2307" max="2307" width="10.54296875" style="104" hidden="1"/>
    <col min="2308" max="2308" width="9.7265625" style="104" hidden="1"/>
    <col min="2309" max="2309" width="12.26953125" style="104" hidden="1"/>
    <col min="2310" max="2310" width="9.26953125" style="104" hidden="1"/>
    <col min="2311" max="2311" width="8.26953125" style="104" hidden="1"/>
    <col min="2312" max="2312" width="9.1796875" style="104" hidden="1"/>
    <col min="2313" max="2313" width="14" style="104" hidden="1"/>
    <col min="2314" max="2314" width="17.7265625" style="104" hidden="1"/>
    <col min="2315" max="2560" width="12.26953125" style="104" hidden="1"/>
    <col min="2561" max="2561" width="53.7265625" style="104" hidden="1"/>
    <col min="2562" max="2562" width="12.26953125" style="104" hidden="1"/>
    <col min="2563" max="2563" width="10.54296875" style="104" hidden="1"/>
    <col min="2564" max="2564" width="9.7265625" style="104" hidden="1"/>
    <col min="2565" max="2565" width="12.26953125" style="104" hidden="1"/>
    <col min="2566" max="2566" width="9.26953125" style="104" hidden="1"/>
    <col min="2567" max="2567" width="8.26953125" style="104" hidden="1"/>
    <col min="2568" max="2568" width="9.1796875" style="104" hidden="1"/>
    <col min="2569" max="2569" width="14" style="104" hidden="1"/>
    <col min="2570" max="2570" width="17.7265625" style="104" hidden="1"/>
    <col min="2571" max="2816" width="12.26953125" style="104" hidden="1"/>
    <col min="2817" max="2817" width="53.7265625" style="104" hidden="1"/>
    <col min="2818" max="2818" width="12.26953125" style="104" hidden="1"/>
    <col min="2819" max="2819" width="10.54296875" style="104" hidden="1"/>
    <col min="2820" max="2820" width="9.7265625" style="104" hidden="1"/>
    <col min="2821" max="2821" width="12.26953125" style="104" hidden="1"/>
    <col min="2822" max="2822" width="9.26953125" style="104" hidden="1"/>
    <col min="2823" max="2823" width="8.26953125" style="104" hidden="1"/>
    <col min="2824" max="2824" width="9.1796875" style="104" hidden="1"/>
    <col min="2825" max="2825" width="14" style="104" hidden="1"/>
    <col min="2826" max="2826" width="17.7265625" style="104" hidden="1"/>
    <col min="2827" max="3072" width="12.26953125" style="104" hidden="1"/>
    <col min="3073" max="3073" width="53.7265625" style="104" hidden="1"/>
    <col min="3074" max="3074" width="12.26953125" style="104" hidden="1"/>
    <col min="3075" max="3075" width="10.54296875" style="104" hidden="1"/>
    <col min="3076" max="3076" width="9.7265625" style="104" hidden="1"/>
    <col min="3077" max="3077" width="12.26953125" style="104" hidden="1"/>
    <col min="3078" max="3078" width="9.26953125" style="104" hidden="1"/>
    <col min="3079" max="3079" width="8.26953125" style="104" hidden="1"/>
    <col min="3080" max="3080" width="9.1796875" style="104" hidden="1"/>
    <col min="3081" max="3081" width="14" style="104" hidden="1"/>
    <col min="3082" max="3082" width="17.7265625" style="104" hidden="1"/>
    <col min="3083" max="3328" width="12.26953125" style="104" hidden="1"/>
    <col min="3329" max="3329" width="53.7265625" style="104" hidden="1"/>
    <col min="3330" max="3330" width="12.26953125" style="104" hidden="1"/>
    <col min="3331" max="3331" width="10.54296875" style="104" hidden="1"/>
    <col min="3332" max="3332" width="9.7265625" style="104" hidden="1"/>
    <col min="3333" max="3333" width="12.26953125" style="104" hidden="1"/>
    <col min="3334" max="3334" width="9.26953125" style="104" hidden="1"/>
    <col min="3335" max="3335" width="8.26953125" style="104" hidden="1"/>
    <col min="3336" max="3336" width="9.1796875" style="104" hidden="1"/>
    <col min="3337" max="3337" width="14" style="104" hidden="1"/>
    <col min="3338" max="3338" width="17.7265625" style="104" hidden="1"/>
    <col min="3339" max="3584" width="12.26953125" style="104" hidden="1"/>
    <col min="3585" max="3585" width="53.7265625" style="104" hidden="1"/>
    <col min="3586" max="3586" width="12.26953125" style="104" hidden="1"/>
    <col min="3587" max="3587" width="10.54296875" style="104" hidden="1"/>
    <col min="3588" max="3588" width="9.7265625" style="104" hidden="1"/>
    <col min="3589" max="3589" width="12.26953125" style="104" hidden="1"/>
    <col min="3590" max="3590" width="9.26953125" style="104" hidden="1"/>
    <col min="3591" max="3591" width="8.26953125" style="104" hidden="1"/>
    <col min="3592" max="3592" width="9.1796875" style="104" hidden="1"/>
    <col min="3593" max="3593" width="14" style="104" hidden="1"/>
    <col min="3594" max="3594" width="17.7265625" style="104" hidden="1"/>
    <col min="3595" max="3840" width="12.26953125" style="104" hidden="1"/>
    <col min="3841" max="3841" width="53.7265625" style="104" hidden="1"/>
    <col min="3842" max="3842" width="12.26953125" style="104" hidden="1"/>
    <col min="3843" max="3843" width="10.54296875" style="104" hidden="1"/>
    <col min="3844" max="3844" width="9.7265625" style="104" hidden="1"/>
    <col min="3845" max="3845" width="12.26953125" style="104" hidden="1"/>
    <col min="3846" max="3846" width="9.26953125" style="104" hidden="1"/>
    <col min="3847" max="3847" width="8.26953125" style="104" hidden="1"/>
    <col min="3848" max="3848" width="9.1796875" style="104" hidden="1"/>
    <col min="3849" max="3849" width="14" style="104" hidden="1"/>
    <col min="3850" max="3850" width="17.7265625" style="104" hidden="1"/>
    <col min="3851" max="4096" width="12.26953125" style="104" hidden="1"/>
    <col min="4097" max="4097" width="53.7265625" style="104" hidden="1"/>
    <col min="4098" max="4098" width="12.26953125" style="104" hidden="1"/>
    <col min="4099" max="4099" width="10.54296875" style="104" hidden="1"/>
    <col min="4100" max="4100" width="9.7265625" style="104" hidden="1"/>
    <col min="4101" max="4101" width="12.26953125" style="104" hidden="1"/>
    <col min="4102" max="4102" width="9.26953125" style="104" hidden="1"/>
    <col min="4103" max="4103" width="8.26953125" style="104" hidden="1"/>
    <col min="4104" max="4104" width="9.1796875" style="104" hidden="1"/>
    <col min="4105" max="4105" width="14" style="104" hidden="1"/>
    <col min="4106" max="4106" width="17.7265625" style="104" hidden="1"/>
    <col min="4107" max="4352" width="12.26953125" style="104" hidden="1"/>
    <col min="4353" max="4353" width="53.7265625" style="104" hidden="1"/>
    <col min="4354" max="4354" width="12.26953125" style="104" hidden="1"/>
    <col min="4355" max="4355" width="10.54296875" style="104" hidden="1"/>
    <col min="4356" max="4356" width="9.7265625" style="104" hidden="1"/>
    <col min="4357" max="4357" width="12.26953125" style="104" hidden="1"/>
    <col min="4358" max="4358" width="9.26953125" style="104" hidden="1"/>
    <col min="4359" max="4359" width="8.26953125" style="104" hidden="1"/>
    <col min="4360" max="4360" width="9.1796875" style="104" hidden="1"/>
    <col min="4361" max="4361" width="14" style="104" hidden="1"/>
    <col min="4362" max="4362" width="17.7265625" style="104" hidden="1"/>
    <col min="4363" max="4608" width="12.26953125" style="104" hidden="1"/>
    <col min="4609" max="4609" width="53.7265625" style="104" hidden="1"/>
    <col min="4610" max="4610" width="12.26953125" style="104" hidden="1"/>
    <col min="4611" max="4611" width="10.54296875" style="104" hidden="1"/>
    <col min="4612" max="4612" width="9.7265625" style="104" hidden="1"/>
    <col min="4613" max="4613" width="12.26953125" style="104" hidden="1"/>
    <col min="4614" max="4614" width="9.26953125" style="104" hidden="1"/>
    <col min="4615" max="4615" width="8.26953125" style="104" hidden="1"/>
    <col min="4616" max="4616" width="9.1796875" style="104" hidden="1"/>
    <col min="4617" max="4617" width="14" style="104" hidden="1"/>
    <col min="4618" max="4618" width="17.7265625" style="104" hidden="1"/>
    <col min="4619" max="4864" width="12.26953125" style="104" hidden="1"/>
    <col min="4865" max="4865" width="53.7265625" style="104" hidden="1"/>
    <col min="4866" max="4866" width="12.26953125" style="104" hidden="1"/>
    <col min="4867" max="4867" width="10.54296875" style="104" hidden="1"/>
    <col min="4868" max="4868" width="9.7265625" style="104" hidden="1"/>
    <col min="4869" max="4869" width="12.26953125" style="104" hidden="1"/>
    <col min="4870" max="4870" width="9.26953125" style="104" hidden="1"/>
    <col min="4871" max="4871" width="8.26953125" style="104" hidden="1"/>
    <col min="4872" max="4872" width="9.1796875" style="104" hidden="1"/>
    <col min="4873" max="4873" width="14" style="104" hidden="1"/>
    <col min="4874" max="4874" width="17.7265625" style="104" hidden="1"/>
    <col min="4875" max="5120" width="12.26953125" style="104" hidden="1"/>
    <col min="5121" max="5121" width="53.7265625" style="104" hidden="1"/>
    <col min="5122" max="5122" width="12.26953125" style="104" hidden="1"/>
    <col min="5123" max="5123" width="10.54296875" style="104" hidden="1"/>
    <col min="5124" max="5124" width="9.7265625" style="104" hidden="1"/>
    <col min="5125" max="5125" width="12.26953125" style="104" hidden="1"/>
    <col min="5126" max="5126" width="9.26953125" style="104" hidden="1"/>
    <col min="5127" max="5127" width="8.26953125" style="104" hidden="1"/>
    <col min="5128" max="5128" width="9.1796875" style="104" hidden="1"/>
    <col min="5129" max="5129" width="14" style="104" hidden="1"/>
    <col min="5130" max="5130" width="17.7265625" style="104" hidden="1"/>
    <col min="5131" max="5376" width="12.26953125" style="104" hidden="1"/>
    <col min="5377" max="5377" width="53.7265625" style="104" hidden="1"/>
    <col min="5378" max="5378" width="12.26953125" style="104" hidden="1"/>
    <col min="5379" max="5379" width="10.54296875" style="104" hidden="1"/>
    <col min="5380" max="5380" width="9.7265625" style="104" hidden="1"/>
    <col min="5381" max="5381" width="12.26953125" style="104" hidden="1"/>
    <col min="5382" max="5382" width="9.26953125" style="104" hidden="1"/>
    <col min="5383" max="5383" width="8.26953125" style="104" hidden="1"/>
    <col min="5384" max="5384" width="9.1796875" style="104" hidden="1"/>
    <col min="5385" max="5385" width="14" style="104" hidden="1"/>
    <col min="5386" max="5386" width="17.7265625" style="104" hidden="1"/>
    <col min="5387" max="5632" width="12.26953125" style="104" hidden="1"/>
    <col min="5633" max="5633" width="53.7265625" style="104" hidden="1"/>
    <col min="5634" max="5634" width="12.26953125" style="104" hidden="1"/>
    <col min="5635" max="5635" width="10.54296875" style="104" hidden="1"/>
    <col min="5636" max="5636" width="9.7265625" style="104" hidden="1"/>
    <col min="5637" max="5637" width="12.26953125" style="104" hidden="1"/>
    <col min="5638" max="5638" width="9.26953125" style="104" hidden="1"/>
    <col min="5639" max="5639" width="8.26953125" style="104" hidden="1"/>
    <col min="5640" max="5640" width="9.1796875" style="104" hidden="1"/>
    <col min="5641" max="5641" width="14" style="104" hidden="1"/>
    <col min="5642" max="5642" width="17.7265625" style="104" hidden="1"/>
    <col min="5643" max="5888" width="12.26953125" style="104" hidden="1"/>
    <col min="5889" max="5889" width="53.7265625" style="104" hidden="1"/>
    <col min="5890" max="5890" width="12.26953125" style="104" hidden="1"/>
    <col min="5891" max="5891" width="10.54296875" style="104" hidden="1"/>
    <col min="5892" max="5892" width="9.7265625" style="104" hidden="1"/>
    <col min="5893" max="5893" width="12.26953125" style="104" hidden="1"/>
    <col min="5894" max="5894" width="9.26953125" style="104" hidden="1"/>
    <col min="5895" max="5895" width="8.26953125" style="104" hidden="1"/>
    <col min="5896" max="5896" width="9.1796875" style="104" hidden="1"/>
    <col min="5897" max="5897" width="14" style="104" hidden="1"/>
    <col min="5898" max="5898" width="17.7265625" style="104" hidden="1"/>
    <col min="5899" max="6144" width="12.26953125" style="104" hidden="1"/>
    <col min="6145" max="6145" width="53.7265625" style="104" hidden="1"/>
    <col min="6146" max="6146" width="12.26953125" style="104" hidden="1"/>
    <col min="6147" max="6147" width="10.54296875" style="104" hidden="1"/>
    <col min="6148" max="6148" width="9.7265625" style="104" hidden="1"/>
    <col min="6149" max="6149" width="12.26953125" style="104" hidden="1"/>
    <col min="6150" max="6150" width="9.26953125" style="104" hidden="1"/>
    <col min="6151" max="6151" width="8.26953125" style="104" hidden="1"/>
    <col min="6152" max="6152" width="9.1796875" style="104" hidden="1"/>
    <col min="6153" max="6153" width="14" style="104" hidden="1"/>
    <col min="6154" max="6154" width="17.7265625" style="104" hidden="1"/>
    <col min="6155" max="6400" width="12.26953125" style="104" hidden="1"/>
    <col min="6401" max="6401" width="53.7265625" style="104" hidden="1"/>
    <col min="6402" max="6402" width="12.26953125" style="104" hidden="1"/>
    <col min="6403" max="6403" width="10.54296875" style="104" hidden="1"/>
    <col min="6404" max="6404" width="9.7265625" style="104" hidden="1"/>
    <col min="6405" max="6405" width="12.26953125" style="104" hidden="1"/>
    <col min="6406" max="6406" width="9.26953125" style="104" hidden="1"/>
    <col min="6407" max="6407" width="8.26953125" style="104" hidden="1"/>
    <col min="6408" max="6408" width="9.1796875" style="104" hidden="1"/>
    <col min="6409" max="6409" width="14" style="104" hidden="1"/>
    <col min="6410" max="6410" width="17.7265625" style="104" hidden="1"/>
    <col min="6411" max="6656" width="12.26953125" style="104" hidden="1"/>
    <col min="6657" max="6657" width="53.7265625" style="104" hidden="1"/>
    <col min="6658" max="6658" width="12.26953125" style="104" hidden="1"/>
    <col min="6659" max="6659" width="10.54296875" style="104" hidden="1"/>
    <col min="6660" max="6660" width="9.7265625" style="104" hidden="1"/>
    <col min="6661" max="6661" width="12.26953125" style="104" hidden="1"/>
    <col min="6662" max="6662" width="9.26953125" style="104" hidden="1"/>
    <col min="6663" max="6663" width="8.26953125" style="104" hidden="1"/>
    <col min="6664" max="6664" width="9.1796875" style="104" hidden="1"/>
    <col min="6665" max="6665" width="14" style="104" hidden="1"/>
    <col min="6666" max="6666" width="17.7265625" style="104" hidden="1"/>
    <col min="6667" max="6912" width="12.26953125" style="104" hidden="1"/>
    <col min="6913" max="6913" width="53.7265625" style="104" hidden="1"/>
    <col min="6914" max="6914" width="12.26953125" style="104" hidden="1"/>
    <col min="6915" max="6915" width="10.54296875" style="104" hidden="1"/>
    <col min="6916" max="6916" width="9.7265625" style="104" hidden="1"/>
    <col min="6917" max="6917" width="12.26953125" style="104" hidden="1"/>
    <col min="6918" max="6918" width="9.26953125" style="104" hidden="1"/>
    <col min="6919" max="6919" width="8.26953125" style="104" hidden="1"/>
    <col min="6920" max="6920" width="9.1796875" style="104" hidden="1"/>
    <col min="6921" max="6921" width="14" style="104" hidden="1"/>
    <col min="6922" max="6922" width="17.7265625" style="104" hidden="1"/>
    <col min="6923" max="7168" width="12.26953125" style="104" hidden="1"/>
    <col min="7169" max="7169" width="53.7265625" style="104" hidden="1"/>
    <col min="7170" max="7170" width="12.26953125" style="104" hidden="1"/>
    <col min="7171" max="7171" width="10.54296875" style="104" hidden="1"/>
    <col min="7172" max="7172" width="9.7265625" style="104" hidden="1"/>
    <col min="7173" max="7173" width="12.26953125" style="104" hidden="1"/>
    <col min="7174" max="7174" width="9.26953125" style="104" hidden="1"/>
    <col min="7175" max="7175" width="8.26953125" style="104" hidden="1"/>
    <col min="7176" max="7176" width="9.1796875" style="104" hidden="1"/>
    <col min="7177" max="7177" width="14" style="104" hidden="1"/>
    <col min="7178" max="7178" width="17.7265625" style="104" hidden="1"/>
    <col min="7179" max="7424" width="12.26953125" style="104" hidden="1"/>
    <col min="7425" max="7425" width="53.7265625" style="104" hidden="1"/>
    <col min="7426" max="7426" width="12.26953125" style="104" hidden="1"/>
    <col min="7427" max="7427" width="10.54296875" style="104" hidden="1"/>
    <col min="7428" max="7428" width="9.7265625" style="104" hidden="1"/>
    <col min="7429" max="7429" width="12.26953125" style="104" hidden="1"/>
    <col min="7430" max="7430" width="9.26953125" style="104" hidden="1"/>
    <col min="7431" max="7431" width="8.26953125" style="104" hidden="1"/>
    <col min="7432" max="7432" width="9.1796875" style="104" hidden="1"/>
    <col min="7433" max="7433" width="14" style="104" hidden="1"/>
    <col min="7434" max="7434" width="17.7265625" style="104" hidden="1"/>
    <col min="7435" max="7680" width="12.26953125" style="104" hidden="1"/>
    <col min="7681" max="7681" width="53.7265625" style="104" hidden="1"/>
    <col min="7682" max="7682" width="12.26953125" style="104" hidden="1"/>
    <col min="7683" max="7683" width="10.54296875" style="104" hidden="1"/>
    <col min="7684" max="7684" width="9.7265625" style="104" hidden="1"/>
    <col min="7685" max="7685" width="12.26953125" style="104" hidden="1"/>
    <col min="7686" max="7686" width="9.26953125" style="104" hidden="1"/>
    <col min="7687" max="7687" width="8.26953125" style="104" hidden="1"/>
    <col min="7688" max="7688" width="9.1796875" style="104" hidden="1"/>
    <col min="7689" max="7689" width="14" style="104" hidden="1"/>
    <col min="7690" max="7690" width="17.7265625" style="104" hidden="1"/>
    <col min="7691" max="7936" width="12.26953125" style="104" hidden="1"/>
    <col min="7937" max="7937" width="53.7265625" style="104" hidden="1"/>
    <col min="7938" max="7938" width="12.26953125" style="104" hidden="1"/>
    <col min="7939" max="7939" width="10.54296875" style="104" hidden="1"/>
    <col min="7940" max="7940" width="9.7265625" style="104" hidden="1"/>
    <col min="7941" max="7941" width="12.26953125" style="104" hidden="1"/>
    <col min="7942" max="7942" width="9.26953125" style="104" hidden="1"/>
    <col min="7943" max="7943" width="8.26953125" style="104" hidden="1"/>
    <col min="7944" max="7944" width="9.1796875" style="104" hidden="1"/>
    <col min="7945" max="7945" width="14" style="104" hidden="1"/>
    <col min="7946" max="7946" width="17.7265625" style="104" hidden="1"/>
    <col min="7947" max="8192" width="12.26953125" style="104" hidden="1"/>
    <col min="8193" max="8193" width="53.7265625" style="104" hidden="1"/>
    <col min="8194" max="8194" width="12.26953125" style="104" hidden="1"/>
    <col min="8195" max="8195" width="10.54296875" style="104" hidden="1"/>
    <col min="8196" max="8196" width="9.7265625" style="104" hidden="1"/>
    <col min="8197" max="8197" width="12.26953125" style="104" hidden="1"/>
    <col min="8198" max="8198" width="9.26953125" style="104" hidden="1"/>
    <col min="8199" max="8199" width="8.26953125" style="104" hidden="1"/>
    <col min="8200" max="8200" width="9.1796875" style="104" hidden="1"/>
    <col min="8201" max="8201" width="14" style="104" hidden="1"/>
    <col min="8202" max="8202" width="17.7265625" style="104" hidden="1"/>
    <col min="8203" max="8448" width="12.26953125" style="104" hidden="1"/>
    <col min="8449" max="8449" width="53.7265625" style="104" hidden="1"/>
    <col min="8450" max="8450" width="12.26953125" style="104" hidden="1"/>
    <col min="8451" max="8451" width="10.54296875" style="104" hidden="1"/>
    <col min="8452" max="8452" width="9.7265625" style="104" hidden="1"/>
    <col min="8453" max="8453" width="12.26953125" style="104" hidden="1"/>
    <col min="8454" max="8454" width="9.26953125" style="104" hidden="1"/>
    <col min="8455" max="8455" width="8.26953125" style="104" hidden="1"/>
    <col min="8456" max="8456" width="9.1796875" style="104" hidden="1"/>
    <col min="8457" max="8457" width="14" style="104" hidden="1"/>
    <col min="8458" max="8458" width="17.7265625" style="104" hidden="1"/>
    <col min="8459" max="8704" width="12.26953125" style="104" hidden="1"/>
    <col min="8705" max="8705" width="53.7265625" style="104" hidden="1"/>
    <col min="8706" max="8706" width="12.26953125" style="104" hidden="1"/>
    <col min="8707" max="8707" width="10.54296875" style="104" hidden="1"/>
    <col min="8708" max="8708" width="9.7265625" style="104" hidden="1"/>
    <col min="8709" max="8709" width="12.26953125" style="104" hidden="1"/>
    <col min="8710" max="8710" width="9.26953125" style="104" hidden="1"/>
    <col min="8711" max="8711" width="8.26953125" style="104" hidden="1"/>
    <col min="8712" max="8712" width="9.1796875" style="104" hidden="1"/>
    <col min="8713" max="8713" width="14" style="104" hidden="1"/>
    <col min="8714" max="8714" width="17.7265625" style="104" hidden="1"/>
    <col min="8715" max="8960" width="12.26953125" style="104" hidden="1"/>
    <col min="8961" max="8961" width="53.7265625" style="104" hidden="1"/>
    <col min="8962" max="8962" width="12.26953125" style="104" hidden="1"/>
    <col min="8963" max="8963" width="10.54296875" style="104" hidden="1"/>
    <col min="8964" max="8964" width="9.7265625" style="104" hidden="1"/>
    <col min="8965" max="8965" width="12.26953125" style="104" hidden="1"/>
    <col min="8966" max="8966" width="9.26953125" style="104" hidden="1"/>
    <col min="8967" max="8967" width="8.26953125" style="104" hidden="1"/>
    <col min="8968" max="8968" width="9.1796875" style="104" hidden="1"/>
    <col min="8969" max="8969" width="14" style="104" hidden="1"/>
    <col min="8970" max="8970" width="17.7265625" style="104" hidden="1"/>
    <col min="8971" max="9216" width="12.26953125" style="104" hidden="1"/>
    <col min="9217" max="9217" width="53.7265625" style="104" hidden="1"/>
    <col min="9218" max="9218" width="12.26953125" style="104" hidden="1"/>
    <col min="9219" max="9219" width="10.54296875" style="104" hidden="1"/>
    <col min="9220" max="9220" width="9.7265625" style="104" hidden="1"/>
    <col min="9221" max="9221" width="12.26953125" style="104" hidden="1"/>
    <col min="9222" max="9222" width="9.26953125" style="104" hidden="1"/>
    <col min="9223" max="9223" width="8.26953125" style="104" hidden="1"/>
    <col min="9224" max="9224" width="9.1796875" style="104" hidden="1"/>
    <col min="9225" max="9225" width="14" style="104" hidden="1"/>
    <col min="9226" max="9226" width="17.7265625" style="104" hidden="1"/>
    <col min="9227" max="9472" width="12.26953125" style="104" hidden="1"/>
    <col min="9473" max="9473" width="53.7265625" style="104" hidden="1"/>
    <col min="9474" max="9474" width="12.26953125" style="104" hidden="1"/>
    <col min="9475" max="9475" width="10.54296875" style="104" hidden="1"/>
    <col min="9476" max="9476" width="9.7265625" style="104" hidden="1"/>
    <col min="9477" max="9477" width="12.26953125" style="104" hidden="1"/>
    <col min="9478" max="9478" width="9.26953125" style="104" hidden="1"/>
    <col min="9479" max="9479" width="8.26953125" style="104" hidden="1"/>
    <col min="9480" max="9480" width="9.1796875" style="104" hidden="1"/>
    <col min="9481" max="9481" width="14" style="104" hidden="1"/>
    <col min="9482" max="9482" width="17.7265625" style="104" hidden="1"/>
    <col min="9483" max="9728" width="12.26953125" style="104" hidden="1"/>
    <col min="9729" max="9729" width="53.7265625" style="104" hidden="1"/>
    <col min="9730" max="9730" width="12.26953125" style="104" hidden="1"/>
    <col min="9731" max="9731" width="10.54296875" style="104" hidden="1"/>
    <col min="9732" max="9732" width="9.7265625" style="104" hidden="1"/>
    <col min="9733" max="9733" width="12.26953125" style="104" hidden="1"/>
    <col min="9734" max="9734" width="9.26953125" style="104" hidden="1"/>
    <col min="9735" max="9735" width="8.26953125" style="104" hidden="1"/>
    <col min="9736" max="9736" width="9.1796875" style="104" hidden="1"/>
    <col min="9737" max="9737" width="14" style="104" hidden="1"/>
    <col min="9738" max="9738" width="17.7265625" style="104" hidden="1"/>
    <col min="9739" max="9984" width="12.26953125" style="104" hidden="1"/>
    <col min="9985" max="9985" width="53.7265625" style="104" hidden="1"/>
    <col min="9986" max="9986" width="12.26953125" style="104" hidden="1"/>
    <col min="9987" max="9987" width="10.54296875" style="104" hidden="1"/>
    <col min="9988" max="9988" width="9.7265625" style="104" hidden="1"/>
    <col min="9989" max="9989" width="12.26953125" style="104" hidden="1"/>
    <col min="9990" max="9990" width="9.26953125" style="104" hidden="1"/>
    <col min="9991" max="9991" width="8.26953125" style="104" hidden="1"/>
    <col min="9992" max="9992" width="9.1796875" style="104" hidden="1"/>
    <col min="9993" max="9993" width="14" style="104" hidden="1"/>
    <col min="9994" max="9994" width="17.7265625" style="104" hidden="1"/>
    <col min="9995" max="10240" width="12.26953125" style="104" hidden="1"/>
    <col min="10241" max="10241" width="53.7265625" style="104" hidden="1"/>
    <col min="10242" max="10242" width="12.26953125" style="104" hidden="1"/>
    <col min="10243" max="10243" width="10.54296875" style="104" hidden="1"/>
    <col min="10244" max="10244" width="9.7265625" style="104" hidden="1"/>
    <col min="10245" max="10245" width="12.26953125" style="104" hidden="1"/>
    <col min="10246" max="10246" width="9.26953125" style="104" hidden="1"/>
    <col min="10247" max="10247" width="8.26953125" style="104" hidden="1"/>
    <col min="10248" max="10248" width="9.1796875" style="104" hidden="1"/>
    <col min="10249" max="10249" width="14" style="104" hidden="1"/>
    <col min="10250" max="10250" width="17.7265625" style="104" hidden="1"/>
    <col min="10251" max="10496" width="12.26953125" style="104" hidden="1"/>
    <col min="10497" max="10497" width="53.7265625" style="104" hidden="1"/>
    <col min="10498" max="10498" width="12.26953125" style="104" hidden="1"/>
    <col min="10499" max="10499" width="10.54296875" style="104" hidden="1"/>
    <col min="10500" max="10500" width="9.7265625" style="104" hidden="1"/>
    <col min="10501" max="10501" width="12.26953125" style="104" hidden="1"/>
    <col min="10502" max="10502" width="9.26953125" style="104" hidden="1"/>
    <col min="10503" max="10503" width="8.26953125" style="104" hidden="1"/>
    <col min="10504" max="10504" width="9.1796875" style="104" hidden="1"/>
    <col min="10505" max="10505" width="14" style="104" hidden="1"/>
    <col min="10506" max="10506" width="17.7265625" style="104" hidden="1"/>
    <col min="10507" max="10752" width="12.26953125" style="104" hidden="1"/>
    <col min="10753" max="10753" width="53.7265625" style="104" hidden="1"/>
    <col min="10754" max="10754" width="12.26953125" style="104" hidden="1"/>
    <col min="10755" max="10755" width="10.54296875" style="104" hidden="1"/>
    <col min="10756" max="10756" width="9.7265625" style="104" hidden="1"/>
    <col min="10757" max="10757" width="12.26953125" style="104" hidden="1"/>
    <col min="10758" max="10758" width="9.26953125" style="104" hidden="1"/>
    <col min="10759" max="10759" width="8.26953125" style="104" hidden="1"/>
    <col min="10760" max="10760" width="9.1796875" style="104" hidden="1"/>
    <col min="10761" max="10761" width="14" style="104" hidden="1"/>
    <col min="10762" max="10762" width="17.7265625" style="104" hidden="1"/>
    <col min="10763" max="11008" width="12.26953125" style="104" hidden="1"/>
    <col min="11009" max="11009" width="53.7265625" style="104" hidden="1"/>
    <col min="11010" max="11010" width="12.26953125" style="104" hidden="1"/>
    <col min="11011" max="11011" width="10.54296875" style="104" hidden="1"/>
    <col min="11012" max="11012" width="9.7265625" style="104" hidden="1"/>
    <col min="11013" max="11013" width="12.26953125" style="104" hidden="1"/>
    <col min="11014" max="11014" width="9.26953125" style="104" hidden="1"/>
    <col min="11015" max="11015" width="8.26953125" style="104" hidden="1"/>
    <col min="11016" max="11016" width="9.1796875" style="104" hidden="1"/>
    <col min="11017" max="11017" width="14" style="104" hidden="1"/>
    <col min="11018" max="11018" width="17.7265625" style="104" hidden="1"/>
    <col min="11019" max="11264" width="12.26953125" style="104" hidden="1"/>
    <col min="11265" max="11265" width="53.7265625" style="104" hidden="1"/>
    <col min="11266" max="11266" width="12.26953125" style="104" hidden="1"/>
    <col min="11267" max="11267" width="10.54296875" style="104" hidden="1"/>
    <col min="11268" max="11268" width="9.7265625" style="104" hidden="1"/>
    <col min="11269" max="11269" width="12.26953125" style="104" hidden="1"/>
    <col min="11270" max="11270" width="9.26953125" style="104" hidden="1"/>
    <col min="11271" max="11271" width="8.26953125" style="104" hidden="1"/>
    <col min="11272" max="11272" width="9.1796875" style="104" hidden="1"/>
    <col min="11273" max="11273" width="14" style="104" hidden="1"/>
    <col min="11274" max="11274" width="17.7265625" style="104" hidden="1"/>
    <col min="11275" max="11520" width="12.26953125" style="104" hidden="1"/>
    <col min="11521" max="11521" width="53.7265625" style="104" hidden="1"/>
    <col min="11522" max="11522" width="12.26953125" style="104" hidden="1"/>
    <col min="11523" max="11523" width="10.54296875" style="104" hidden="1"/>
    <col min="11524" max="11524" width="9.7265625" style="104" hidden="1"/>
    <col min="11525" max="11525" width="12.26953125" style="104" hidden="1"/>
    <col min="11526" max="11526" width="9.26953125" style="104" hidden="1"/>
    <col min="11527" max="11527" width="8.26953125" style="104" hidden="1"/>
    <col min="11528" max="11528" width="9.1796875" style="104" hidden="1"/>
    <col min="11529" max="11529" width="14" style="104" hidden="1"/>
    <col min="11530" max="11530" width="17.7265625" style="104" hidden="1"/>
    <col min="11531" max="11776" width="12.26953125" style="104" hidden="1"/>
    <col min="11777" max="11777" width="53.7265625" style="104" hidden="1"/>
    <col min="11778" max="11778" width="12.26953125" style="104" hidden="1"/>
    <col min="11779" max="11779" width="10.54296875" style="104" hidden="1"/>
    <col min="11780" max="11780" width="9.7265625" style="104" hidden="1"/>
    <col min="11781" max="11781" width="12.26953125" style="104" hidden="1"/>
    <col min="11782" max="11782" width="9.26953125" style="104" hidden="1"/>
    <col min="11783" max="11783" width="8.26953125" style="104" hidden="1"/>
    <col min="11784" max="11784" width="9.1796875" style="104" hidden="1"/>
    <col min="11785" max="11785" width="14" style="104" hidden="1"/>
    <col min="11786" max="11786" width="17.7265625" style="104" hidden="1"/>
    <col min="11787" max="12032" width="12.26953125" style="104" hidden="1"/>
    <col min="12033" max="12033" width="53.7265625" style="104" hidden="1"/>
    <col min="12034" max="12034" width="12.26953125" style="104" hidden="1"/>
    <col min="12035" max="12035" width="10.54296875" style="104" hidden="1"/>
    <col min="12036" max="12036" width="9.7265625" style="104" hidden="1"/>
    <col min="12037" max="12037" width="12.26953125" style="104" hidden="1"/>
    <col min="12038" max="12038" width="9.26953125" style="104" hidden="1"/>
    <col min="12039" max="12039" width="8.26953125" style="104" hidden="1"/>
    <col min="12040" max="12040" width="9.1796875" style="104" hidden="1"/>
    <col min="12041" max="12041" width="14" style="104" hidden="1"/>
    <col min="12042" max="12042" width="17.7265625" style="104" hidden="1"/>
    <col min="12043" max="12288" width="12.26953125" style="104" hidden="1"/>
    <col min="12289" max="12289" width="53.7265625" style="104" hidden="1"/>
    <col min="12290" max="12290" width="12.26953125" style="104" hidden="1"/>
    <col min="12291" max="12291" width="10.54296875" style="104" hidden="1"/>
    <col min="12292" max="12292" width="9.7265625" style="104" hidden="1"/>
    <col min="12293" max="12293" width="12.26953125" style="104" hidden="1"/>
    <col min="12294" max="12294" width="9.26953125" style="104" hidden="1"/>
    <col min="12295" max="12295" width="8.26953125" style="104" hidden="1"/>
    <col min="12296" max="12296" width="9.1796875" style="104" hidden="1"/>
    <col min="12297" max="12297" width="14" style="104" hidden="1"/>
    <col min="12298" max="12298" width="17.7265625" style="104" hidden="1"/>
    <col min="12299" max="12544" width="12.26953125" style="104" hidden="1"/>
    <col min="12545" max="12545" width="53.7265625" style="104" hidden="1"/>
    <col min="12546" max="12546" width="12.26953125" style="104" hidden="1"/>
    <col min="12547" max="12547" width="10.54296875" style="104" hidden="1"/>
    <col min="12548" max="12548" width="9.7265625" style="104" hidden="1"/>
    <col min="12549" max="12549" width="12.26953125" style="104" hidden="1"/>
    <col min="12550" max="12550" width="9.26953125" style="104" hidden="1"/>
    <col min="12551" max="12551" width="8.26953125" style="104" hidden="1"/>
    <col min="12552" max="12552" width="9.1796875" style="104" hidden="1"/>
    <col min="12553" max="12553" width="14" style="104" hidden="1"/>
    <col min="12554" max="12554" width="17.7265625" style="104" hidden="1"/>
    <col min="12555" max="12800" width="12.26953125" style="104" hidden="1"/>
    <col min="12801" max="12801" width="53.7265625" style="104" hidden="1"/>
    <col min="12802" max="12802" width="12.26953125" style="104" hidden="1"/>
    <col min="12803" max="12803" width="10.54296875" style="104" hidden="1"/>
    <col min="12804" max="12804" width="9.7265625" style="104" hidden="1"/>
    <col min="12805" max="12805" width="12.26953125" style="104" hidden="1"/>
    <col min="12806" max="12806" width="9.26953125" style="104" hidden="1"/>
    <col min="12807" max="12807" width="8.26953125" style="104" hidden="1"/>
    <col min="12808" max="12808" width="9.1796875" style="104" hidden="1"/>
    <col min="12809" max="12809" width="14" style="104" hidden="1"/>
    <col min="12810" max="12810" width="17.7265625" style="104" hidden="1"/>
    <col min="12811" max="13056" width="12.26953125" style="104" hidden="1"/>
    <col min="13057" max="13057" width="53.7265625" style="104" hidden="1"/>
    <col min="13058" max="13058" width="12.26953125" style="104" hidden="1"/>
    <col min="13059" max="13059" width="10.54296875" style="104" hidden="1"/>
    <col min="13060" max="13060" width="9.7265625" style="104" hidden="1"/>
    <col min="13061" max="13061" width="12.26953125" style="104" hidden="1"/>
    <col min="13062" max="13062" width="9.26953125" style="104" hidden="1"/>
    <col min="13063" max="13063" width="8.26953125" style="104" hidden="1"/>
    <col min="13064" max="13064" width="9.1796875" style="104" hidden="1"/>
    <col min="13065" max="13065" width="14" style="104" hidden="1"/>
    <col min="13066" max="13066" width="17.7265625" style="104" hidden="1"/>
    <col min="13067" max="13312" width="12.26953125" style="104" hidden="1"/>
    <col min="13313" max="13313" width="53.7265625" style="104" hidden="1"/>
    <col min="13314" max="13314" width="12.26953125" style="104" hidden="1"/>
    <col min="13315" max="13315" width="10.54296875" style="104" hidden="1"/>
    <col min="13316" max="13316" width="9.7265625" style="104" hidden="1"/>
    <col min="13317" max="13317" width="12.26953125" style="104" hidden="1"/>
    <col min="13318" max="13318" width="9.26953125" style="104" hidden="1"/>
    <col min="13319" max="13319" width="8.26953125" style="104" hidden="1"/>
    <col min="13320" max="13320" width="9.1796875" style="104" hidden="1"/>
    <col min="13321" max="13321" width="14" style="104" hidden="1"/>
    <col min="13322" max="13322" width="17.7265625" style="104" hidden="1"/>
    <col min="13323" max="13568" width="12.26953125" style="104" hidden="1"/>
    <col min="13569" max="13569" width="53.7265625" style="104" hidden="1"/>
    <col min="13570" max="13570" width="12.26953125" style="104" hidden="1"/>
    <col min="13571" max="13571" width="10.54296875" style="104" hidden="1"/>
    <col min="13572" max="13572" width="9.7265625" style="104" hidden="1"/>
    <col min="13573" max="13573" width="12.26953125" style="104" hidden="1"/>
    <col min="13574" max="13574" width="9.26953125" style="104" hidden="1"/>
    <col min="13575" max="13575" width="8.26953125" style="104" hidden="1"/>
    <col min="13576" max="13576" width="9.1796875" style="104" hidden="1"/>
    <col min="13577" max="13577" width="14" style="104" hidden="1"/>
    <col min="13578" max="13578" width="17.7265625" style="104" hidden="1"/>
    <col min="13579" max="13824" width="12.26953125" style="104" hidden="1"/>
    <col min="13825" max="13825" width="53.7265625" style="104" hidden="1"/>
    <col min="13826" max="13826" width="12.26953125" style="104" hidden="1"/>
    <col min="13827" max="13827" width="10.54296875" style="104" hidden="1"/>
    <col min="13828" max="13828" width="9.7265625" style="104" hidden="1"/>
    <col min="13829" max="13829" width="12.26953125" style="104" hidden="1"/>
    <col min="13830" max="13830" width="9.26953125" style="104" hidden="1"/>
    <col min="13831" max="13831" width="8.26953125" style="104" hidden="1"/>
    <col min="13832" max="13832" width="9.1796875" style="104" hidden="1"/>
    <col min="13833" max="13833" width="14" style="104" hidden="1"/>
    <col min="13834" max="13834" width="17.7265625" style="104" hidden="1"/>
    <col min="13835" max="14080" width="12.26953125" style="104" hidden="1"/>
    <col min="14081" max="14081" width="53.7265625" style="104" hidden="1"/>
    <col min="14082" max="14082" width="12.26953125" style="104" hidden="1"/>
    <col min="14083" max="14083" width="10.54296875" style="104" hidden="1"/>
    <col min="14084" max="14084" width="9.7265625" style="104" hidden="1"/>
    <col min="14085" max="14085" width="12.26953125" style="104" hidden="1"/>
    <col min="14086" max="14086" width="9.26953125" style="104" hidden="1"/>
    <col min="14087" max="14087" width="8.26953125" style="104" hidden="1"/>
    <col min="14088" max="14088" width="9.1796875" style="104" hidden="1"/>
    <col min="14089" max="14089" width="14" style="104" hidden="1"/>
    <col min="14090" max="14090" width="17.7265625" style="104" hidden="1"/>
    <col min="14091" max="14336" width="12.26953125" style="104" hidden="1"/>
    <col min="14337" max="14337" width="53.7265625" style="104" hidden="1"/>
    <col min="14338" max="14338" width="12.26953125" style="104" hidden="1"/>
    <col min="14339" max="14339" width="10.54296875" style="104" hidden="1"/>
    <col min="14340" max="14340" width="9.7265625" style="104" hidden="1"/>
    <col min="14341" max="14341" width="12.26953125" style="104" hidden="1"/>
    <col min="14342" max="14342" width="9.26953125" style="104" hidden="1"/>
    <col min="14343" max="14343" width="8.26953125" style="104" hidden="1"/>
    <col min="14344" max="14344" width="9.1796875" style="104" hidden="1"/>
    <col min="14345" max="14345" width="14" style="104" hidden="1"/>
    <col min="14346" max="14346" width="17.7265625" style="104" hidden="1"/>
    <col min="14347" max="14592" width="12.26953125" style="104" hidden="1"/>
    <col min="14593" max="14593" width="53.7265625" style="104" hidden="1"/>
    <col min="14594" max="14594" width="12.26953125" style="104" hidden="1"/>
    <col min="14595" max="14595" width="10.54296875" style="104" hidden="1"/>
    <col min="14596" max="14596" width="9.7265625" style="104" hidden="1"/>
    <col min="14597" max="14597" width="12.26953125" style="104" hidden="1"/>
    <col min="14598" max="14598" width="9.26953125" style="104" hidden="1"/>
    <col min="14599" max="14599" width="8.26953125" style="104" hidden="1"/>
    <col min="14600" max="14600" width="9.1796875" style="104" hidden="1"/>
    <col min="14601" max="14601" width="14" style="104" hidden="1"/>
    <col min="14602" max="14602" width="17.7265625" style="104" hidden="1"/>
    <col min="14603" max="14848" width="12.26953125" style="104" hidden="1"/>
    <col min="14849" max="14849" width="53.7265625" style="104" hidden="1"/>
    <col min="14850" max="14850" width="12.26953125" style="104" hidden="1"/>
    <col min="14851" max="14851" width="10.54296875" style="104" hidden="1"/>
    <col min="14852" max="14852" width="9.7265625" style="104" hidden="1"/>
    <col min="14853" max="14853" width="12.26953125" style="104" hidden="1"/>
    <col min="14854" max="14854" width="9.26953125" style="104" hidden="1"/>
    <col min="14855" max="14855" width="8.26953125" style="104" hidden="1"/>
    <col min="14856" max="14856" width="9.1796875" style="104" hidden="1"/>
    <col min="14857" max="14857" width="14" style="104" hidden="1"/>
    <col min="14858" max="14858" width="17.7265625" style="104" hidden="1"/>
    <col min="14859" max="15104" width="12.26953125" style="104" hidden="1"/>
    <col min="15105" max="15105" width="53.7265625" style="104" hidden="1"/>
    <col min="15106" max="15106" width="12.26953125" style="104" hidden="1"/>
    <col min="15107" max="15107" width="10.54296875" style="104" hidden="1"/>
    <col min="15108" max="15108" width="9.7265625" style="104" hidden="1"/>
    <col min="15109" max="15109" width="12.26953125" style="104" hidden="1"/>
    <col min="15110" max="15110" width="9.26953125" style="104" hidden="1"/>
    <col min="15111" max="15111" width="8.26953125" style="104" hidden="1"/>
    <col min="15112" max="15112" width="9.1796875" style="104" hidden="1"/>
    <col min="15113" max="15113" width="14" style="104" hidden="1"/>
    <col min="15114" max="15114" width="17.7265625" style="104" hidden="1"/>
    <col min="15115" max="15360" width="12.26953125" style="104" hidden="1"/>
    <col min="15361" max="15361" width="53.7265625" style="104" hidden="1"/>
    <col min="15362" max="15362" width="12.26953125" style="104" hidden="1"/>
    <col min="15363" max="15363" width="10.54296875" style="104" hidden="1"/>
    <col min="15364" max="15364" width="9.7265625" style="104" hidden="1"/>
    <col min="15365" max="15365" width="12.26953125" style="104" hidden="1"/>
    <col min="15366" max="15366" width="9.26953125" style="104" hidden="1"/>
    <col min="15367" max="15367" width="8.26953125" style="104" hidden="1"/>
    <col min="15368" max="15368" width="9.1796875" style="104" hidden="1"/>
    <col min="15369" max="15369" width="14" style="104" hidden="1"/>
    <col min="15370" max="15370" width="17.7265625" style="104" hidden="1"/>
    <col min="15371" max="15616" width="12.26953125" style="104" hidden="1"/>
    <col min="15617" max="15617" width="53.7265625" style="104" hidden="1"/>
    <col min="15618" max="15618" width="12.26953125" style="104" hidden="1"/>
    <col min="15619" max="15619" width="10.54296875" style="104" hidden="1"/>
    <col min="15620" max="15620" width="9.7265625" style="104" hidden="1"/>
    <col min="15621" max="15621" width="12.26953125" style="104" hidden="1"/>
    <col min="15622" max="15622" width="9.26953125" style="104" hidden="1"/>
    <col min="15623" max="15623" width="8.26953125" style="104" hidden="1"/>
    <col min="15624" max="15624" width="9.1796875" style="104" hidden="1"/>
    <col min="15625" max="15625" width="14" style="104" hidden="1"/>
    <col min="15626" max="15626" width="17.7265625" style="104" hidden="1"/>
    <col min="15627" max="15872" width="12.26953125" style="104" hidden="1"/>
    <col min="15873" max="15873" width="53.7265625" style="104" hidden="1"/>
    <col min="15874" max="15874" width="12.26953125" style="104" hidden="1"/>
    <col min="15875" max="15875" width="10.54296875" style="104" hidden="1"/>
    <col min="15876" max="15876" width="9.7265625" style="104" hidden="1"/>
    <col min="15877" max="15877" width="12.26953125" style="104" hidden="1"/>
    <col min="15878" max="15878" width="9.26953125" style="104" hidden="1"/>
    <col min="15879" max="15879" width="8.26953125" style="104" hidden="1"/>
    <col min="15880" max="15880" width="9.1796875" style="104" hidden="1"/>
    <col min="15881" max="15881" width="14" style="104" hidden="1"/>
    <col min="15882" max="15882" width="17.7265625" style="104" hidden="1"/>
    <col min="15883" max="16128" width="12.26953125" style="104" hidden="1"/>
    <col min="16129" max="16129" width="53.7265625" style="104" hidden="1"/>
    <col min="16130" max="16130" width="12.26953125" style="104" hidden="1"/>
    <col min="16131" max="16131" width="10.54296875" style="104" hidden="1"/>
    <col min="16132" max="16132" width="9.7265625" style="104" hidden="1"/>
    <col min="16133" max="16133" width="12.26953125" style="104" hidden="1"/>
    <col min="16134" max="16134" width="9.26953125" style="104" hidden="1"/>
    <col min="16135" max="16135" width="8.26953125" style="104" hidden="1"/>
    <col min="16136" max="16136" width="9.1796875" style="104" hidden="1"/>
    <col min="16137" max="16137" width="14" style="104" hidden="1"/>
    <col min="16138" max="16138" width="17.7265625" style="104" hidden="1"/>
    <col min="16139" max="16384" width="12.26953125" style="104" hidden="1"/>
  </cols>
  <sheetData>
    <row r="1" spans="1:248" ht="1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190</v>
      </c>
    </row>
    <row r="2" spans="1:248" ht="1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>
      <c r="A3" s="241" t="s">
        <v>142</v>
      </c>
      <c r="B3" s="241"/>
      <c r="C3" s="241"/>
      <c r="D3" s="241"/>
      <c r="E3" s="241"/>
      <c r="F3" s="241"/>
      <c r="G3" s="241"/>
      <c r="H3" s="241"/>
      <c r="I3" s="103"/>
    </row>
    <row r="4" spans="1:248" ht="15.5">
      <c r="A4" s="242" t="s">
        <v>143</v>
      </c>
      <c r="B4" s="242"/>
      <c r="C4" s="242"/>
      <c r="D4" s="242"/>
      <c r="E4" s="242"/>
      <c r="F4" s="242"/>
      <c r="G4" s="242"/>
      <c r="H4" s="242"/>
      <c r="I4" s="103"/>
    </row>
    <row r="5" spans="1:248" ht="8.15" customHeight="1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">
      <c r="A6" s="241" t="s">
        <v>144</v>
      </c>
      <c r="B6" s="241"/>
      <c r="C6" s="241"/>
      <c r="D6" s="241"/>
      <c r="E6" s="241"/>
      <c r="F6" s="241"/>
      <c r="G6" s="241"/>
      <c r="H6" s="241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">
      <c r="A7" s="241" t="s">
        <v>145</v>
      </c>
      <c r="B7" s="241"/>
      <c r="C7" s="241"/>
      <c r="D7" s="241"/>
      <c r="E7" s="241"/>
      <c r="F7" s="241"/>
      <c r="G7" s="241"/>
      <c r="H7" s="241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>
      <c r="A9" s="243" t="s">
        <v>146</v>
      </c>
      <c r="B9" s="239" t="s">
        <v>206</v>
      </c>
      <c r="C9" s="239" t="s">
        <v>220</v>
      </c>
      <c r="D9" s="239" t="s">
        <v>147</v>
      </c>
      <c r="E9" s="245" t="s">
        <v>219</v>
      </c>
      <c r="F9" s="245" t="s">
        <v>221</v>
      </c>
      <c r="G9" s="239" t="s">
        <v>147</v>
      </c>
      <c r="H9" s="239" t="s">
        <v>148</v>
      </c>
      <c r="I9" s="112"/>
    </row>
    <row r="10" spans="1:248" s="3" customFormat="1" ht="23.25" customHeight="1" thickBot="1">
      <c r="A10" s="244"/>
      <c r="B10" s="240"/>
      <c r="C10" s="240"/>
      <c r="D10" s="240"/>
      <c r="E10" s="246"/>
      <c r="F10" s="246"/>
      <c r="G10" s="240"/>
      <c r="H10" s="240"/>
      <c r="I10" s="112"/>
    </row>
    <row r="11" spans="1:248" s="10" customFormat="1" ht="13">
      <c r="A11" s="8" t="s">
        <v>1</v>
      </c>
      <c r="B11" s="114">
        <v>60952.166576037998</v>
      </c>
      <c r="C11" s="114">
        <f>IF($A11="","",SUM('Situfin serie mensual'!JF2:JG2))</f>
        <v>7976.7356944030007</v>
      </c>
      <c r="D11" s="114">
        <f>IFERROR((C11/B11*100),0)</f>
        <v>13.086878026644058</v>
      </c>
      <c r="E11" s="114">
        <v>67097.878262885002</v>
      </c>
      <c r="F11" s="114">
        <f>IF($A11="","",'2'!N12)</f>
        <v>7568.2778212020003</v>
      </c>
      <c r="G11" s="114">
        <f>IFERROR((F11/E11*100),0)</f>
        <v>11.279459227533236</v>
      </c>
      <c r="H11" s="114">
        <f>IF(C11&lt;&gt;0,F11/C11*100-100," ")</f>
        <v>-5.1206143571686908</v>
      </c>
      <c r="I11" s="115"/>
    </row>
    <row r="12" spans="1:248" s="10" customFormat="1" ht="6.75" customHeight="1">
      <c r="A12" s="8"/>
      <c r="B12" s="114"/>
      <c r="C12" s="114" t="s">
        <v>149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3" outlineLevel="1">
      <c r="A13" s="10" t="s">
        <v>94</v>
      </c>
      <c r="B13" s="116">
        <v>39968.893015750997</v>
      </c>
      <c r="C13" s="116">
        <f>IF($A13="","",SUM('Situfin serie mensual'!JF4:JG4))</f>
        <v>5883.7408910120012</v>
      </c>
      <c r="D13" s="116">
        <f>IFERROR((C13/B13*100),0)</f>
        <v>14.720800220044444</v>
      </c>
      <c r="E13" s="116">
        <v>45328.182012080004</v>
      </c>
      <c r="F13" s="116">
        <f>IF($A13="","",'2'!N14)</f>
        <v>5812.5919032410011</v>
      </c>
      <c r="G13" s="116">
        <f>IFERROR((F13/E13*100),0)</f>
        <v>12.823351048343257</v>
      </c>
      <c r="H13" s="116">
        <f>IF(C13&lt;&gt;0,F13/C13*100-100," ")</f>
        <v>-1.2092474683867778</v>
      </c>
      <c r="I13" s="115"/>
      <c r="L13" s="117"/>
    </row>
    <row r="14" spans="1:248" s="119" customFormat="1" ht="6" customHeight="1">
      <c r="A14" s="13"/>
      <c r="B14" s="118"/>
      <c r="C14" s="118"/>
      <c r="D14" s="118"/>
      <c r="E14" s="232"/>
      <c r="F14" s="232" t="str">
        <f>IF($A14="","",'2'!N15)</f>
        <v/>
      </c>
      <c r="G14" s="118"/>
      <c r="H14" s="118"/>
      <c r="I14" s="115"/>
    </row>
    <row r="15" spans="1:248" s="16" customFormat="1" ht="13" outlineLevel="2">
      <c r="A15" s="10" t="s">
        <v>10</v>
      </c>
      <c r="B15" s="116">
        <v>4439.5458132129997</v>
      </c>
      <c r="C15" s="116">
        <f>IF($A15="","",SUM('Situfin serie mensual'!JF13:JG13))</f>
        <v>550.61952995699994</v>
      </c>
      <c r="D15" s="116">
        <f>IFERROR((C15/B15*100),0)</f>
        <v>12.402609481317732</v>
      </c>
      <c r="E15" s="233">
        <v>6449.2023435209994</v>
      </c>
      <c r="F15" s="233">
        <f>IF($A15="","",'2'!N16)</f>
        <v>578.37900628800003</v>
      </c>
      <c r="G15" s="116">
        <f>IFERROR((F15/E15*100),0)</f>
        <v>8.9682254561147623</v>
      </c>
      <c r="H15" s="116">
        <f>IF(C15&lt;&gt;0,F15/C15*100-100," ")</f>
        <v>5.0414986793454233</v>
      </c>
      <c r="I15" s="115"/>
      <c r="L15" s="120"/>
    </row>
    <row r="16" spans="1:248" s="119" customFormat="1" ht="8.25" customHeight="1">
      <c r="A16" s="13"/>
      <c r="B16" s="118"/>
      <c r="C16" s="118" t="str">
        <f>IF($A16="","",SUM('Situfin serie mensual'!JF14:JG14))</f>
        <v/>
      </c>
      <c r="D16" s="118"/>
      <c r="E16" s="232"/>
      <c r="F16" s="232" t="str">
        <f>IF($A16="","",'2'!N17)</f>
        <v/>
      </c>
      <c r="G16" s="118"/>
      <c r="H16" s="118"/>
      <c r="I16" s="115"/>
    </row>
    <row r="17" spans="1:11" s="16" customFormat="1" ht="13" outlineLevel="2">
      <c r="A17" s="10" t="s">
        <v>11</v>
      </c>
      <c r="B17" s="116">
        <v>2187.200505626</v>
      </c>
      <c r="C17" s="116">
        <f>IF($A17="","",SUM('Situfin serie mensual'!JF15:JG15))</f>
        <v>249.80122824</v>
      </c>
      <c r="D17" s="116">
        <f t="shared" ref="D17:D34" si="0">IFERROR((C17/B17*100),0)</f>
        <v>11.421048394852315</v>
      </c>
      <c r="E17" s="233">
        <v>2334.0928047150001</v>
      </c>
      <c r="F17" s="233">
        <f>IF($A17="","",'2'!N18)</f>
        <v>242.19039053400002</v>
      </c>
      <c r="G17" s="116">
        <f t="shared" ref="G17:G34" si="1">IFERROR((F17/E17*100),0)</f>
        <v>10.376210836379842</v>
      </c>
      <c r="H17" s="116">
        <f t="shared" ref="H17:H34" si="2">IF(C17&lt;&gt;0,F17/C17*100-100," ")</f>
        <v>-3.0467575198180157</v>
      </c>
      <c r="I17" s="115"/>
    </row>
    <row r="18" spans="1:11" s="119" customFormat="1" ht="12.75" customHeight="1">
      <c r="A18" s="13" t="s">
        <v>150</v>
      </c>
      <c r="B18" s="118">
        <v>362.98456435899999</v>
      </c>
      <c r="C18" s="118">
        <f>IF($A18="","",SUM('Situfin serie mensual'!JF16:JG16))</f>
        <v>1.118168134</v>
      </c>
      <c r="D18" s="118">
        <f t="shared" si="0"/>
        <v>0.30804839758808761</v>
      </c>
      <c r="E18" s="232">
        <v>460.61409762599999</v>
      </c>
      <c r="F18" s="232">
        <f>IF($A18="","",'2'!N19)</f>
        <v>92.3996025</v>
      </c>
      <c r="G18" s="118">
        <f t="shared" si="1"/>
        <v>20.060089992083729</v>
      </c>
      <c r="H18" s="118">
        <f t="shared" si="2"/>
        <v>8163.4802128961401</v>
      </c>
      <c r="I18" s="115"/>
    </row>
    <row r="19" spans="1:11" s="119" customFormat="1" ht="12.75" customHeight="1">
      <c r="A19" s="171" t="s">
        <v>184</v>
      </c>
      <c r="B19" s="118">
        <v>1.4101000000000001E-2</v>
      </c>
      <c r="C19" s="118">
        <f>IF($A19="","",SUM('Situfin serie mensual'!JF17:JG17))</f>
        <v>0</v>
      </c>
      <c r="D19" s="118">
        <f t="shared" si="0"/>
        <v>0</v>
      </c>
      <c r="E19" s="232">
        <v>0</v>
      </c>
      <c r="F19" s="232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>
      <c r="A20" s="171" t="s">
        <v>185</v>
      </c>
      <c r="B20" s="118">
        <v>362.97046335900001</v>
      </c>
      <c r="C20" s="118">
        <f>IF($A20="","",SUM('Situfin serie mensual'!JF18:JG18))</f>
        <v>1.118168134</v>
      </c>
      <c r="D20" s="118">
        <f t="shared" si="0"/>
        <v>0.30806036492673605</v>
      </c>
      <c r="E20" s="232">
        <v>460.61409762599999</v>
      </c>
      <c r="F20" s="232">
        <f>IF($A20="","",'2'!N21)</f>
        <v>92.3996025</v>
      </c>
      <c r="G20" s="118">
        <f t="shared" si="1"/>
        <v>20.060089992083729</v>
      </c>
      <c r="H20" s="118">
        <f t="shared" si="2"/>
        <v>8163.4802128961401</v>
      </c>
      <c r="I20" s="115"/>
    </row>
    <row r="21" spans="1:11" s="119" customFormat="1" ht="12.75" customHeight="1">
      <c r="A21" s="13" t="s">
        <v>151</v>
      </c>
      <c r="B21" s="118">
        <v>17.2</v>
      </c>
      <c r="C21" s="118">
        <f>IF($A21="","",SUM('Situfin serie mensual'!JF19:JG19))</f>
        <v>0</v>
      </c>
      <c r="D21" s="118">
        <f t="shared" si="0"/>
        <v>0</v>
      </c>
      <c r="E21" s="232">
        <v>0</v>
      </c>
      <c r="F21" s="232">
        <f>IF($A21="","",'2'!N22)</f>
        <v>0</v>
      </c>
      <c r="G21" s="118">
        <f t="shared" si="1"/>
        <v>0</v>
      </c>
      <c r="H21" s="118" t="str">
        <f t="shared" si="2"/>
        <v xml:space="preserve"> </v>
      </c>
      <c r="I21" s="115"/>
    </row>
    <row r="22" spans="1:11" s="119" customFormat="1" ht="12.75" customHeight="1">
      <c r="A22" s="171" t="s">
        <v>184</v>
      </c>
      <c r="B22" s="118">
        <v>0</v>
      </c>
      <c r="C22" s="118">
        <f>IF($A22="","",SUM('Situfin serie mensual'!JF20:JG20))</f>
        <v>0</v>
      </c>
      <c r="D22" s="118">
        <f t="shared" si="0"/>
        <v>0</v>
      </c>
      <c r="E22" s="232">
        <v>0</v>
      </c>
      <c r="F22" s="232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>
      <c r="A23" s="171" t="s">
        <v>185</v>
      </c>
      <c r="B23" s="118">
        <v>17.2</v>
      </c>
      <c r="C23" s="118">
        <f>IF($A23="","",SUM('Situfin serie mensual'!JF21:JG21))</f>
        <v>0</v>
      </c>
      <c r="D23" s="118">
        <f t="shared" si="0"/>
        <v>0</v>
      </c>
      <c r="E23" s="232">
        <v>0</v>
      </c>
      <c r="F23" s="232">
        <f>IF($A23="","",'2'!N24)</f>
        <v>0</v>
      </c>
      <c r="G23" s="118">
        <f t="shared" si="1"/>
        <v>0</v>
      </c>
      <c r="H23" s="118" t="str">
        <f t="shared" si="2"/>
        <v xml:space="preserve"> </v>
      </c>
      <c r="I23" s="115"/>
    </row>
    <row r="24" spans="1:11" s="119" customFormat="1" ht="12.75" customHeight="1">
      <c r="A24" s="13" t="s">
        <v>152</v>
      </c>
      <c r="B24" s="118">
        <v>1807.015941267</v>
      </c>
      <c r="C24" s="118">
        <f>IF($A24="","",SUM('Situfin serie mensual'!JF22:JG22))</f>
        <v>248.68306010599997</v>
      </c>
      <c r="D24" s="118">
        <f t="shared" si="0"/>
        <v>13.762084463495897</v>
      </c>
      <c r="E24" s="232">
        <v>1873.478707089</v>
      </c>
      <c r="F24" s="232">
        <f>IF($A24="","",'2'!N25)</f>
        <v>149.790788034</v>
      </c>
      <c r="G24" s="118">
        <f t="shared" si="1"/>
        <v>7.9953290884604735</v>
      </c>
      <c r="H24" s="118">
        <f t="shared" si="2"/>
        <v>-39.766388603167272</v>
      </c>
      <c r="I24" s="115"/>
    </row>
    <row r="25" spans="1:11" s="119" customFormat="1" ht="12.75" customHeight="1">
      <c r="A25" s="171" t="s">
        <v>184</v>
      </c>
      <c r="B25" s="118">
        <v>1807.015941267</v>
      </c>
      <c r="C25" s="118">
        <f>IF($A25="","",SUM('Situfin serie mensual'!JF23:JG23))</f>
        <v>248.68306010599997</v>
      </c>
      <c r="D25" s="118">
        <f t="shared" si="0"/>
        <v>13.762084463495897</v>
      </c>
      <c r="E25" s="232">
        <v>1873.478707089</v>
      </c>
      <c r="F25" s="232">
        <f>IF($A25="","",'2'!N26)</f>
        <v>149.790788034</v>
      </c>
      <c r="G25" s="118">
        <f t="shared" si="1"/>
        <v>7.9953290884604735</v>
      </c>
      <c r="H25" s="118">
        <f t="shared" si="2"/>
        <v>-39.766388603167272</v>
      </c>
      <c r="I25" s="115"/>
    </row>
    <row r="26" spans="1:11" s="119" customFormat="1" ht="12.75" customHeight="1">
      <c r="A26" s="171" t="s">
        <v>185</v>
      </c>
      <c r="B26" s="118">
        <v>0</v>
      </c>
      <c r="C26" s="118">
        <f>IF($A26="","",SUM('Situfin serie mensual'!JF24:JG24))</f>
        <v>0</v>
      </c>
      <c r="D26" s="118">
        <f t="shared" si="0"/>
        <v>0</v>
      </c>
      <c r="E26" s="232">
        <v>0</v>
      </c>
      <c r="F26" s="232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3" outlineLevel="2">
      <c r="A27" s="10" t="s">
        <v>17</v>
      </c>
      <c r="B27" s="116">
        <v>14356.527241447999</v>
      </c>
      <c r="C27" s="116">
        <f>IF($A27="","",SUM('Situfin serie mensual'!JF25:JG25))</f>
        <v>1292.5740451939998</v>
      </c>
      <c r="D27" s="116">
        <f t="shared" si="0"/>
        <v>9.0033893535358267</v>
      </c>
      <c r="E27" s="233">
        <v>12986.401102569002</v>
      </c>
      <c r="F27" s="233">
        <f>IF($A27="","",'2'!N28)</f>
        <v>935.11652113900004</v>
      </c>
      <c r="G27" s="116">
        <f t="shared" si="1"/>
        <v>7.200736476205198</v>
      </c>
      <c r="H27" s="116">
        <f t="shared" si="2"/>
        <v>-27.654703835659149</v>
      </c>
      <c r="I27" s="115"/>
      <c r="K27" s="121"/>
    </row>
    <row r="28" spans="1:11" s="119" customFormat="1" ht="12.75" customHeight="1">
      <c r="A28" s="13" t="s">
        <v>18</v>
      </c>
      <c r="B28" s="118">
        <v>5115.7218045239997</v>
      </c>
      <c r="C28" s="118">
        <f>IF($A28="","",SUM('Situfin serie mensual'!JF26:JG26))</f>
        <v>888.3914580039999</v>
      </c>
      <c r="D28" s="118">
        <f t="shared" si="0"/>
        <v>17.365906355939181</v>
      </c>
      <c r="E28" s="232">
        <v>4090.8185523440002</v>
      </c>
      <c r="F28" s="232">
        <f>IF($A28="","",'2'!N29)</f>
        <v>589.32808209500001</v>
      </c>
      <c r="G28" s="118">
        <f t="shared" si="1"/>
        <v>14.406116393437216</v>
      </c>
      <c r="H28" s="118">
        <f t="shared" si="2"/>
        <v>-33.663468194631534</v>
      </c>
      <c r="I28" s="115"/>
    </row>
    <row r="29" spans="1:11" s="119" customFormat="1" ht="14.25" customHeight="1">
      <c r="A29" s="171" t="s">
        <v>181</v>
      </c>
      <c r="B29" s="118">
        <v>4288.362643857</v>
      </c>
      <c r="C29" s="118">
        <f>IF($A29="","",SUM('Situfin serie mensual'!JF27:JG27))</f>
        <v>804.1843993519999</v>
      </c>
      <c r="D29" s="118">
        <f t="shared" si="0"/>
        <v>18.752714407303664</v>
      </c>
      <c r="E29" s="232">
        <v>3471.2874270489997</v>
      </c>
      <c r="F29" s="232">
        <f>IF($A29="","",'2'!N30)</f>
        <v>496.91657252100003</v>
      </c>
      <c r="G29" s="118">
        <f t="shared" si="1"/>
        <v>14.315051201145772</v>
      </c>
      <c r="H29" s="118">
        <f t="shared" si="2"/>
        <v>-38.208628155257898</v>
      </c>
      <c r="I29" s="115"/>
    </row>
    <row r="30" spans="1:11" s="119" customFormat="1" ht="14.25" customHeight="1">
      <c r="A30" s="171" t="s">
        <v>182</v>
      </c>
      <c r="B30" s="118">
        <v>827.3591606669994</v>
      </c>
      <c r="C30" s="118">
        <f>IF($A30="","",SUM('Situfin serie mensual'!JF28:JG28))</f>
        <v>84.207058651999972</v>
      </c>
      <c r="D30" s="118">
        <f t="shared" si="0"/>
        <v>10.177811844630332</v>
      </c>
      <c r="E30" s="232">
        <v>619.53112529500015</v>
      </c>
      <c r="F30" s="232">
        <f>IF($A30="","",'2'!N31)</f>
        <v>92.411509573999965</v>
      </c>
      <c r="G30" s="118">
        <f t="shared" si="1"/>
        <v>14.916362681535439</v>
      </c>
      <c r="H30" s="118">
        <f t="shared" si="2"/>
        <v>9.743186679760754</v>
      </c>
      <c r="I30" s="115"/>
    </row>
    <row r="31" spans="1:11" s="119" customFormat="1" ht="12.75" customHeight="1">
      <c r="A31" s="13" t="s">
        <v>21</v>
      </c>
      <c r="B31" s="118">
        <v>2510.596610349</v>
      </c>
      <c r="C31" s="118">
        <f>IF($A31="","",SUM('Situfin serie mensual'!JF29:JG29))</f>
        <v>362.00881646699997</v>
      </c>
      <c r="D31" s="118">
        <f t="shared" si="0"/>
        <v>14.419234654215391</v>
      </c>
      <c r="E31" s="232">
        <v>2575.8735489470005</v>
      </c>
      <c r="F31" s="232">
        <f>IF($A31="","",'2'!N32)</f>
        <v>318.49230996300003</v>
      </c>
      <c r="G31" s="118">
        <f t="shared" si="1"/>
        <v>12.364438855828055</v>
      </c>
      <c r="H31" s="118">
        <f t="shared" si="2"/>
        <v>-12.020841627200213</v>
      </c>
      <c r="I31" s="115"/>
    </row>
    <row r="32" spans="1:11" s="119" customFormat="1" ht="14.25" customHeight="1">
      <c r="A32" s="171" t="s">
        <v>183</v>
      </c>
      <c r="B32" s="118">
        <v>346.24133774699999</v>
      </c>
      <c r="C32" s="118">
        <f>IF($A32="","",SUM('Situfin serie mensual'!JF30:JG30))</f>
        <v>93.609066200000001</v>
      </c>
      <c r="D32" s="118">
        <f t="shared" si="0"/>
        <v>27.035785735208933</v>
      </c>
      <c r="E32" s="232">
        <v>129.308823666</v>
      </c>
      <c r="F32" s="232">
        <f>IF($A32="","",'2'!N33)</f>
        <v>36.243442754</v>
      </c>
      <c r="G32" s="118">
        <f t="shared" si="1"/>
        <v>28.028592114963089</v>
      </c>
      <c r="H32" s="118">
        <f t="shared" si="2"/>
        <v>-61.282123382617399</v>
      </c>
      <c r="I32" s="115"/>
    </row>
    <row r="33" spans="1:13" s="119" customFormat="1" ht="14.25" customHeight="1">
      <c r="A33" s="171" t="s">
        <v>23</v>
      </c>
      <c r="B33" s="118">
        <v>2164.3552726019998</v>
      </c>
      <c r="C33" s="118">
        <f>IF($A33="","",SUM('Situfin serie mensual'!JF31:JG31))</f>
        <v>268.39975026699994</v>
      </c>
      <c r="D33" s="118">
        <f t="shared" si="0"/>
        <v>12.400910038411961</v>
      </c>
      <c r="E33" s="232">
        <v>2446.5647252810004</v>
      </c>
      <c r="F33" s="232">
        <f>IF($A33="","",'2'!N34)</f>
        <v>282.24886720900003</v>
      </c>
      <c r="G33" s="118">
        <f t="shared" si="1"/>
        <v>11.536537917531788</v>
      </c>
      <c r="H33" s="118">
        <f t="shared" si="2"/>
        <v>5.1598844366372134</v>
      </c>
      <c r="I33" s="115"/>
    </row>
    <row r="34" spans="1:13" s="119" customFormat="1" ht="12.75" customHeight="1">
      <c r="A34" s="172" t="s">
        <v>17</v>
      </c>
      <c r="B34" s="118">
        <v>6730.2088265749999</v>
      </c>
      <c r="C34" s="118">
        <f>IF($A34="","",SUM('Situfin serie mensual'!JF32:JG32))</f>
        <v>42.173770723000004</v>
      </c>
      <c r="D34" s="118">
        <f t="shared" si="0"/>
        <v>0.62663391002775493</v>
      </c>
      <c r="E34" s="232">
        <v>6319.709001278</v>
      </c>
      <c r="F34" s="232">
        <f>IF($A34="","",'2'!N35)</f>
        <v>27.296129080999997</v>
      </c>
      <c r="G34" s="118">
        <f t="shared" si="1"/>
        <v>0.43192066399702977</v>
      </c>
      <c r="H34" s="118">
        <f t="shared" si="2"/>
        <v>-35.277001290013416</v>
      </c>
      <c r="I34" s="115"/>
    </row>
    <row r="35" spans="1:13" s="119" customFormat="1" ht="8.25" customHeight="1">
      <c r="A35" s="13"/>
      <c r="B35" s="118"/>
      <c r="C35" s="118" t="str">
        <f>IF($A35="","",SUM('Situfin serie mensual'!JF33:JG33))</f>
        <v/>
      </c>
      <c r="D35" s="118"/>
      <c r="E35" s="232"/>
      <c r="F35" s="232" t="str">
        <f>IF($A35="","",'2'!N36)</f>
        <v/>
      </c>
      <c r="G35" s="118"/>
      <c r="H35" s="118"/>
      <c r="I35" s="115"/>
    </row>
    <row r="36" spans="1:13" s="10" customFormat="1" ht="13">
      <c r="A36" s="113" t="s">
        <v>24</v>
      </c>
      <c r="B36" s="122">
        <v>61724.560837296995</v>
      </c>
      <c r="C36" s="122">
        <f>IF($A36="","",SUM('Situfin serie mensual'!JF34:JG34))</f>
        <v>8058.686425191001</v>
      </c>
      <c r="D36" s="122">
        <f t="shared" ref="D36:D71" si="3">IFERROR((C36/B36*100),0)</f>
        <v>13.055882967613677</v>
      </c>
      <c r="E36" s="234">
        <v>65300.396843642004</v>
      </c>
      <c r="F36" s="234">
        <f>IF($A36="","",'2'!N37)</f>
        <v>8955.1439406440004</v>
      </c>
      <c r="G36" s="122">
        <f t="shared" ref="G36:G71" si="4">IFERROR((F36/E36*100),0)</f>
        <v>13.713766490709958</v>
      </c>
      <c r="H36" s="122">
        <f t="shared" ref="H36:H71" si="5">IF(C36&lt;&gt;0,F36/C36*100-100," ")</f>
        <v>11.124114628045632</v>
      </c>
      <c r="I36" s="115"/>
      <c r="M36" s="218"/>
    </row>
    <row r="37" spans="1:13" s="119" customFormat="1" ht="13">
      <c r="A37" s="123" t="s">
        <v>25</v>
      </c>
      <c r="B37" s="124">
        <v>25075.932075850997</v>
      </c>
      <c r="C37" s="124">
        <f>IF($A37="","",SUM('Situfin serie mensual'!JF35:JG35))</f>
        <v>3502.7172934540004</v>
      </c>
      <c r="D37" s="124">
        <f t="shared" si="3"/>
        <v>13.968443058701855</v>
      </c>
      <c r="E37" s="234">
        <v>26524.641804751005</v>
      </c>
      <c r="F37" s="234">
        <f>IF($A37="","",'2'!N38)</f>
        <v>3817.1137416030001</v>
      </c>
      <c r="G37" s="124">
        <f t="shared" si="4"/>
        <v>14.390821070086199</v>
      </c>
      <c r="H37" s="124">
        <f t="shared" si="5"/>
        <v>8.9757871335078789</v>
      </c>
      <c r="I37" s="115"/>
    </row>
    <row r="38" spans="1:13" s="119" customFormat="1" ht="13">
      <c r="A38" s="155" t="s">
        <v>26</v>
      </c>
      <c r="B38" s="116">
        <v>7277.3805293170008</v>
      </c>
      <c r="C38" s="116">
        <f>IF($A38="","",SUM('Situfin serie mensual'!JF36:JG36))</f>
        <v>1015.179560712</v>
      </c>
      <c r="D38" s="116">
        <f t="shared" si="3"/>
        <v>13.949793564076234</v>
      </c>
      <c r="E38" s="233">
        <v>7806.9339824799999</v>
      </c>
      <c r="F38" s="233">
        <f>IF($A38="","",'2'!N39)</f>
        <v>816.8573796500001</v>
      </c>
      <c r="G38" s="116">
        <f t="shared" si="4"/>
        <v>10.463228989551569</v>
      </c>
      <c r="H38" s="116">
        <f t="shared" si="5"/>
        <v>-19.535675139371989</v>
      </c>
      <c r="I38" s="115"/>
    </row>
    <row r="39" spans="1:13" s="119" customFormat="1" ht="12.75" customHeight="1">
      <c r="A39" s="31" t="s">
        <v>27</v>
      </c>
      <c r="B39" s="118">
        <v>2474.316349146</v>
      </c>
      <c r="C39" s="118">
        <f>IF($A39="","",SUM('Situfin serie mensual'!JF37:JG37))</f>
        <v>248.81814835899999</v>
      </c>
      <c r="D39" s="118">
        <f t="shared" si="3"/>
        <v>10.056036223697852</v>
      </c>
      <c r="E39" s="232">
        <v>2861.448288998</v>
      </c>
      <c r="F39" s="232">
        <f>IF($A39="","",'2'!N40)</f>
        <v>249.58869881999999</v>
      </c>
      <c r="G39" s="118">
        <f t="shared" si="4"/>
        <v>8.7224605728380666</v>
      </c>
      <c r="H39" s="118">
        <f t="shared" si="5"/>
        <v>0.30968418746056159</v>
      </c>
      <c r="I39" s="115"/>
    </row>
    <row r="40" spans="1:13" s="119" customFormat="1" ht="12.75" customHeight="1">
      <c r="A40" s="31" t="s">
        <v>28</v>
      </c>
      <c r="B40" s="118">
        <v>4517.9469510390009</v>
      </c>
      <c r="C40" s="118">
        <f>IF($A40="","",SUM('Situfin serie mensual'!JF38:JG38))</f>
        <v>725.75624501600009</v>
      </c>
      <c r="D40" s="118">
        <f t="shared" si="3"/>
        <v>16.06385052505091</v>
      </c>
      <c r="E40" s="232">
        <v>4694.6816267489994</v>
      </c>
      <c r="F40" s="232">
        <f>IF($A40="","",'2'!N41)</f>
        <v>562.27219508200005</v>
      </c>
      <c r="G40" s="118">
        <f t="shared" si="4"/>
        <v>11.976790755699565</v>
      </c>
      <c r="H40" s="118">
        <f t="shared" si="5"/>
        <v>-22.526027306922572</v>
      </c>
      <c r="I40" s="115"/>
    </row>
    <row r="41" spans="1:13" s="119" customFormat="1" ht="12.75" customHeight="1">
      <c r="A41" s="31" t="s">
        <v>29</v>
      </c>
      <c r="B41" s="118">
        <v>151.22553761699999</v>
      </c>
      <c r="C41" s="118">
        <f>IF($A41="","",SUM('Situfin serie mensual'!JF39:JG39))</f>
        <v>1.6184973370000002</v>
      </c>
      <c r="D41" s="118">
        <f t="shared" si="3"/>
        <v>1.0702539812416294</v>
      </c>
      <c r="E41" s="232">
        <v>68.251014173000002</v>
      </c>
      <c r="F41" s="232">
        <f>IF($A41="","",'2'!N42)</f>
        <v>4.9964857480000004</v>
      </c>
      <c r="G41" s="118">
        <f t="shared" si="4"/>
        <v>7.3207494548507421</v>
      </c>
      <c r="H41" s="118">
        <f t="shared" si="5"/>
        <v>208.71139752761911</v>
      </c>
      <c r="I41" s="115"/>
    </row>
    <row r="42" spans="1:13" s="119" customFormat="1" ht="12.75" customHeight="1">
      <c r="A42" s="31" t="s">
        <v>30</v>
      </c>
      <c r="B42" s="118">
        <v>133.89169151500053</v>
      </c>
      <c r="C42" s="118">
        <f>IF($A42="","",SUM('Situfin serie mensual'!JF40:JG40))</f>
        <v>38.986669999999926</v>
      </c>
      <c r="D42" s="118">
        <f t="shared" si="3"/>
        <v>29.118065175561743</v>
      </c>
      <c r="E42" s="232">
        <v>182.55305255999974</v>
      </c>
      <c r="F42" s="232">
        <f>IF($A42="","",'2'!N43)</f>
        <v>0</v>
      </c>
      <c r="G42" s="118">
        <f t="shared" si="4"/>
        <v>0</v>
      </c>
      <c r="H42" s="118">
        <f t="shared" si="5"/>
        <v>-100</v>
      </c>
      <c r="I42" s="115"/>
    </row>
    <row r="43" spans="1:13" s="119" customFormat="1" ht="13">
      <c r="A43" s="155" t="s">
        <v>31</v>
      </c>
      <c r="B43" s="116">
        <v>7750.6213125190006</v>
      </c>
      <c r="C43" s="116">
        <f>IF($A43="","",SUM('Situfin serie mensual'!JF41:JG41))</f>
        <v>923.02490249100003</v>
      </c>
      <c r="D43" s="116">
        <f t="shared" si="3"/>
        <v>11.909044001415818</v>
      </c>
      <c r="E43" s="233">
        <v>8641.337256271001</v>
      </c>
      <c r="F43" s="233">
        <f>IF($A43="","",'2'!N44)</f>
        <v>1251.662839757</v>
      </c>
      <c r="G43" s="116">
        <f>IFERROR((F43/E43*100),0)</f>
        <v>14.484596569225102</v>
      </c>
      <c r="H43" s="116">
        <f t="shared" si="5"/>
        <v>35.604449715180294</v>
      </c>
      <c r="I43" s="115"/>
    </row>
    <row r="44" spans="1:13" s="119" customFormat="1" ht="12.75" customHeight="1">
      <c r="A44" s="31" t="s">
        <v>32</v>
      </c>
      <c r="B44" s="118">
        <v>6927.8688989620005</v>
      </c>
      <c r="C44" s="118">
        <f>IF($A44="","",SUM('Situfin serie mensual'!JF42:JG42))</f>
        <v>730.791142874</v>
      </c>
      <c r="D44" s="118">
        <f t="shared" si="3"/>
        <v>10.548570614312492</v>
      </c>
      <c r="E44" s="232">
        <v>7723.6935947310003</v>
      </c>
      <c r="F44" s="232">
        <f>IF($A44="","",'2'!N45)</f>
        <v>1010.813718595</v>
      </c>
      <c r="G44" s="118">
        <f t="shared" si="4"/>
        <v>13.087180455793371</v>
      </c>
      <c r="H44" s="118">
        <f t="shared" si="5"/>
        <v>38.317729826301473</v>
      </c>
      <c r="I44" s="115"/>
    </row>
    <row r="45" spans="1:13" s="119" customFormat="1" ht="12.75" customHeight="1">
      <c r="A45" s="31" t="s">
        <v>33</v>
      </c>
      <c r="B45" s="118">
        <v>822.75241355699995</v>
      </c>
      <c r="C45" s="118">
        <f>IF($A45="","",SUM('Situfin serie mensual'!JF43:JG43))</f>
        <v>192.233759617</v>
      </c>
      <c r="D45" s="118">
        <f t="shared" si="3"/>
        <v>23.364715368736153</v>
      </c>
      <c r="E45" s="232">
        <v>917.64366154000004</v>
      </c>
      <c r="F45" s="232">
        <f>IF($A45="","",'2'!N46)</f>
        <v>240.84912116199999</v>
      </c>
      <c r="G45" s="118">
        <f t="shared" si="4"/>
        <v>26.246475757027977</v>
      </c>
      <c r="H45" s="118">
        <f t="shared" si="5"/>
        <v>25.289710632440205</v>
      </c>
      <c r="I45" s="115"/>
    </row>
    <row r="46" spans="1:13" s="119" customFormat="1" ht="12.75" customHeight="1">
      <c r="A46" s="13" t="s">
        <v>34</v>
      </c>
      <c r="B46" s="118">
        <v>0</v>
      </c>
      <c r="C46" s="118">
        <f>IF($A46="","",SUM('Situfin serie mensual'!JF44:JG44))</f>
        <v>0</v>
      </c>
      <c r="D46" s="118">
        <f t="shared" si="3"/>
        <v>0</v>
      </c>
      <c r="E46" s="232">
        <v>0</v>
      </c>
      <c r="F46" s="232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3">
      <c r="A47" s="155" t="s">
        <v>11</v>
      </c>
      <c r="B47" s="116">
        <v>7948.2560241189994</v>
      </c>
      <c r="C47" s="116">
        <f>IF($A47="","",SUM('Situfin serie mensual'!JF45:JG45))</f>
        <v>759.67566695499988</v>
      </c>
      <c r="D47" s="116">
        <f t="shared" si="3"/>
        <v>9.5577654349553214</v>
      </c>
      <c r="E47" s="233">
        <v>7869.0812465179988</v>
      </c>
      <c r="F47" s="233">
        <f>IF($A47="","",'2'!N48)</f>
        <v>973.17231305299993</v>
      </c>
      <c r="G47" s="116">
        <f t="shared" si="4"/>
        <v>12.36703857243335</v>
      </c>
      <c r="H47" s="116">
        <f t="shared" si="5"/>
        <v>28.103657308619148</v>
      </c>
      <c r="I47" s="115"/>
    </row>
    <row r="48" spans="1:13" s="119" customFormat="1" ht="12.75" customHeight="1">
      <c r="A48" s="13" t="s">
        <v>170</v>
      </c>
      <c r="B48" s="118">
        <v>0</v>
      </c>
      <c r="C48" s="118">
        <f>IF($A48="","",SUM('Situfin serie mensual'!JF46:JG46))</f>
        <v>0</v>
      </c>
      <c r="D48" s="118">
        <f t="shared" si="3"/>
        <v>0</v>
      </c>
      <c r="E48" s="232">
        <v>0</v>
      </c>
      <c r="F48" s="232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>
      <c r="A49" s="13" t="s">
        <v>13</v>
      </c>
      <c r="B49" s="118">
        <v>0</v>
      </c>
      <c r="C49" s="118">
        <f>IF($A49="","",SUM('Situfin serie mensual'!JF47:JG47))</f>
        <v>0</v>
      </c>
      <c r="D49" s="118">
        <f t="shared" si="3"/>
        <v>0</v>
      </c>
      <c r="E49" s="232">
        <v>0</v>
      </c>
      <c r="F49" s="232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>
      <c r="A50" s="13" t="s">
        <v>14</v>
      </c>
      <c r="B50" s="118">
        <v>0</v>
      </c>
      <c r="C50" s="118">
        <f>IF($A50="","",SUM('Situfin serie mensual'!JF48:JG48))</f>
        <v>0</v>
      </c>
      <c r="D50" s="118">
        <f t="shared" si="3"/>
        <v>0</v>
      </c>
      <c r="E50" s="232">
        <v>0</v>
      </c>
      <c r="F50" s="232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>
      <c r="A51" s="13" t="s">
        <v>153</v>
      </c>
      <c r="B51" s="118">
        <v>60.653950805999997</v>
      </c>
      <c r="C51" s="118">
        <f>IF($A51="","",SUM('Situfin serie mensual'!JF49:JG49))</f>
        <v>3.171216056</v>
      </c>
      <c r="D51" s="118">
        <f t="shared" si="3"/>
        <v>5.228375091579851</v>
      </c>
      <c r="E51" s="232">
        <v>116.35668904399999</v>
      </c>
      <c r="F51" s="232">
        <f>IF($A51="","",'2'!N52)</f>
        <v>2.158960151</v>
      </c>
      <c r="G51" s="118">
        <f t="shared" si="4"/>
        <v>1.85546715770126</v>
      </c>
      <c r="H51" s="118">
        <f t="shared" si="5"/>
        <v>-31.920117933459409</v>
      </c>
      <c r="I51" s="115"/>
    </row>
    <row r="52" spans="1:9" s="119" customFormat="1" ht="12.75" customHeight="1">
      <c r="A52" s="13" t="s">
        <v>13</v>
      </c>
      <c r="B52" s="118">
        <v>60.645700806000001</v>
      </c>
      <c r="C52" s="118">
        <f>IF($A52="","",SUM('Situfin serie mensual'!JF50:JG50))</f>
        <v>3.171216056</v>
      </c>
      <c r="D52" s="118">
        <f t="shared" si="3"/>
        <v>5.2290863389383979</v>
      </c>
      <c r="E52" s="232">
        <v>116.35668904399999</v>
      </c>
      <c r="F52" s="232">
        <f>IF($A52="","",'2'!N53)</f>
        <v>2.158960151</v>
      </c>
      <c r="G52" s="118">
        <f t="shared" si="4"/>
        <v>1.85546715770126</v>
      </c>
      <c r="H52" s="118">
        <f t="shared" si="5"/>
        <v>-31.920117933459409</v>
      </c>
      <c r="I52" s="115"/>
    </row>
    <row r="53" spans="1:9" s="119" customFormat="1" ht="12.75" customHeight="1">
      <c r="A53" s="13" t="s">
        <v>14</v>
      </c>
      <c r="B53" s="118">
        <v>8.2500000000000004E-3</v>
      </c>
      <c r="C53" s="118">
        <f>IF($A53="","",SUM('Situfin serie mensual'!JF51:JG51))</f>
        <v>0</v>
      </c>
      <c r="D53" s="118">
        <f t="shared" si="3"/>
        <v>0</v>
      </c>
      <c r="E53" s="232">
        <v>0</v>
      </c>
      <c r="F53" s="232">
        <f>IF($A53="","",'2'!N54)</f>
        <v>0</v>
      </c>
      <c r="G53" s="118">
        <f t="shared" si="4"/>
        <v>0</v>
      </c>
      <c r="H53" s="118" t="str">
        <f t="shared" si="5"/>
        <v xml:space="preserve"> </v>
      </c>
      <c r="I53" s="115"/>
    </row>
    <row r="54" spans="1:9" s="119" customFormat="1" ht="12.75" customHeight="1">
      <c r="A54" s="13" t="s">
        <v>154</v>
      </c>
      <c r="B54" s="118">
        <v>7887.6020733129999</v>
      </c>
      <c r="C54" s="118">
        <f>IF($A54="","",SUM('Situfin serie mensual'!JF52:JG52))</f>
        <v>756.50445089899995</v>
      </c>
      <c r="D54" s="118">
        <f t="shared" si="3"/>
        <v>9.5910575085749503</v>
      </c>
      <c r="E54" s="232">
        <v>7752.7245574739991</v>
      </c>
      <c r="F54" s="232">
        <f>IF($A54="","",'2'!N55)</f>
        <v>971.01335290199995</v>
      </c>
      <c r="G54" s="118">
        <f t="shared" si="4"/>
        <v>12.524801386963974</v>
      </c>
      <c r="H54" s="118">
        <f t="shared" si="5"/>
        <v>28.355272959476451</v>
      </c>
      <c r="I54" s="115"/>
    </row>
    <row r="55" spans="1:9" s="119" customFormat="1" ht="12.75" customHeight="1">
      <c r="A55" s="13" t="s">
        <v>13</v>
      </c>
      <c r="B55" s="118">
        <v>5759.9470913329997</v>
      </c>
      <c r="C55" s="118">
        <f>IF($A55="","",SUM('Situfin serie mensual'!JF53:JG53))</f>
        <v>528.46394962499994</v>
      </c>
      <c r="D55" s="118">
        <f t="shared" si="3"/>
        <v>9.1748056231311637</v>
      </c>
      <c r="E55" s="232">
        <v>5960.5437246799993</v>
      </c>
      <c r="F55" s="232">
        <f>IF($A55="","",'2'!N56)</f>
        <v>771.97275471499995</v>
      </c>
      <c r="G55" s="118">
        <f t="shared" si="4"/>
        <v>12.951381457342542</v>
      </c>
      <c r="H55" s="118">
        <f t="shared" si="5"/>
        <v>46.07860295159108</v>
      </c>
      <c r="I55" s="115"/>
    </row>
    <row r="56" spans="1:9" s="119" customFormat="1" ht="12.75" customHeight="1">
      <c r="A56" s="13" t="s">
        <v>14</v>
      </c>
      <c r="B56" s="118">
        <v>2127.6549819800002</v>
      </c>
      <c r="C56" s="118">
        <f>IF($A56="","",SUM('Situfin serie mensual'!JF54:JG54))</f>
        <v>228.04050127400001</v>
      </c>
      <c r="D56" s="118">
        <f t="shared" si="3"/>
        <v>10.7179266941948</v>
      </c>
      <c r="E56" s="232">
        <v>1792.1808327940003</v>
      </c>
      <c r="F56" s="232">
        <f>IF($A56="","",'2'!N57)</f>
        <v>199.040598187</v>
      </c>
      <c r="G56" s="118">
        <f t="shared" si="4"/>
        <v>11.106055513198228</v>
      </c>
      <c r="H56" s="118">
        <f t="shared" si="5"/>
        <v>-12.716996728644901</v>
      </c>
      <c r="I56" s="115"/>
    </row>
    <row r="57" spans="1:9" s="119" customFormat="1" ht="13">
      <c r="A57" s="155" t="s">
        <v>35</v>
      </c>
      <c r="B57" s="116">
        <v>11452.603298008</v>
      </c>
      <c r="C57" s="116">
        <f>IF($A57="","",SUM('Situfin serie mensual'!JF55:JG55))</f>
        <v>1680.8681596179999</v>
      </c>
      <c r="D57" s="116">
        <f t="shared" si="3"/>
        <v>14.67673432738529</v>
      </c>
      <c r="E57" s="233">
        <v>12535.104500329002</v>
      </c>
      <c r="F57" s="233">
        <f>IF($A57="","",'2'!N58)</f>
        <v>1915.691039409</v>
      </c>
      <c r="G57" s="116">
        <f t="shared" si="4"/>
        <v>15.282609246366633</v>
      </c>
      <c r="H57" s="116">
        <f t="shared" si="5"/>
        <v>13.970333035778765</v>
      </c>
      <c r="I57" s="115"/>
    </row>
    <row r="58" spans="1:9" s="119" customFormat="1" ht="13">
      <c r="A58" s="31" t="s">
        <v>36</v>
      </c>
      <c r="B58" s="118">
        <v>5889.6891858819999</v>
      </c>
      <c r="C58" s="118">
        <f>IF($A58="","",SUM('Situfin serie mensual'!JF56:JG56))</f>
        <v>951.66514704899998</v>
      </c>
      <c r="D58" s="118">
        <f t="shared" si="3"/>
        <v>16.158155668557324</v>
      </c>
      <c r="E58" s="232">
        <v>6732.7942996440006</v>
      </c>
      <c r="F58" s="232">
        <f>IF($A58="","",'2'!N59)</f>
        <v>1033.948888596</v>
      </c>
      <c r="G58" s="118">
        <f t="shared" si="4"/>
        <v>15.356905952862254</v>
      </c>
      <c r="H58" s="118">
        <f t="shared" si="5"/>
        <v>8.6462913769777288</v>
      </c>
      <c r="I58" s="115"/>
    </row>
    <row r="59" spans="1:9" s="119" customFormat="1" ht="13">
      <c r="A59" s="31" t="s">
        <v>37</v>
      </c>
      <c r="B59" s="118">
        <v>5143.5683723869997</v>
      </c>
      <c r="C59" s="118">
        <f>IF($A59="","",SUM('Situfin serie mensual'!JF57:JG57))</f>
        <v>671.40176408599996</v>
      </c>
      <c r="D59" s="118">
        <f t="shared" si="3"/>
        <v>13.05322911017161</v>
      </c>
      <c r="E59" s="232">
        <v>5416.7683998390003</v>
      </c>
      <c r="F59" s="232">
        <f>IF($A59="","",'2'!N60)</f>
        <v>821.40970018400003</v>
      </c>
      <c r="G59" s="118">
        <f t="shared" si="4"/>
        <v>15.164201966035955</v>
      </c>
      <c r="H59" s="118">
        <f t="shared" si="5"/>
        <v>22.342499546781866</v>
      </c>
      <c r="I59" s="115"/>
    </row>
    <row r="60" spans="1:9" s="119" customFormat="1" ht="13">
      <c r="A60" s="31" t="s">
        <v>38</v>
      </c>
      <c r="B60" s="118">
        <v>419.34573973900001</v>
      </c>
      <c r="C60" s="118">
        <f>IF($A60="","",SUM('Situfin serie mensual'!JF58:JG58))</f>
        <v>57.801248482999995</v>
      </c>
      <c r="D60" s="118">
        <f t="shared" si="3"/>
        <v>13.783673710140798</v>
      </c>
      <c r="E60" s="118">
        <v>385.541800846</v>
      </c>
      <c r="F60" s="232">
        <f>IF($A60="","",'2'!N61)</f>
        <v>60.332450629</v>
      </c>
      <c r="G60" s="118">
        <f t="shared" si="4"/>
        <v>15.648744311670388</v>
      </c>
      <c r="H60" s="118">
        <f t="shared" si="5"/>
        <v>4.3791478773065933</v>
      </c>
      <c r="I60" s="115"/>
    </row>
    <row r="61" spans="1:9" s="119" customFormat="1" ht="13">
      <c r="A61" s="155" t="s">
        <v>39</v>
      </c>
      <c r="B61" s="116">
        <v>2219.7675974829999</v>
      </c>
      <c r="C61" s="116">
        <f>IF($A61="","",SUM('Situfin serie mensual'!JF59:JG59))</f>
        <v>177.22084196100002</v>
      </c>
      <c r="D61" s="116">
        <f t="shared" si="3"/>
        <v>7.9837565951476712</v>
      </c>
      <c r="E61" s="233">
        <v>1923.2980532930001</v>
      </c>
      <c r="F61" s="233">
        <f>IF($A61="","",'2'!N62)</f>
        <v>180.64662717199997</v>
      </c>
      <c r="G61" s="116">
        <f t="shared" si="4"/>
        <v>9.3925445857288459</v>
      </c>
      <c r="H61" s="116">
        <f t="shared" si="5"/>
        <v>1.9330600019120965</v>
      </c>
      <c r="I61" s="115"/>
    </row>
    <row r="62" spans="1:9" s="119" customFormat="1" ht="12.75" customHeight="1">
      <c r="A62" s="13" t="s">
        <v>40</v>
      </c>
      <c r="B62" s="118">
        <v>816.1494532050001</v>
      </c>
      <c r="C62" s="118">
        <f>IF($A62="","",SUM('Situfin serie mensual'!JF60:JG60))</f>
        <v>108.54707504800001</v>
      </c>
      <c r="D62" s="118">
        <f t="shared" si="3"/>
        <v>13.299901705715559</v>
      </c>
      <c r="E62" s="232">
        <v>724.77862231400002</v>
      </c>
      <c r="F62" s="232">
        <f>IF($A62="","",'2'!N63)</f>
        <v>26.921206339999998</v>
      </c>
      <c r="G62" s="118">
        <f t="shared" si="4"/>
        <v>3.7144040278186861</v>
      </c>
      <c r="H62" s="118">
        <f t="shared" si="5"/>
        <v>-75.198588881280017</v>
      </c>
      <c r="I62" s="115"/>
    </row>
    <row r="63" spans="1:9" s="119" customFormat="1" ht="25.5" hidden="1" customHeight="1">
      <c r="A63" s="33" t="s">
        <v>41</v>
      </c>
      <c r="B63" s="118">
        <v>250.88127927299999</v>
      </c>
      <c r="C63" s="118">
        <f>IF($A63="","",SUM('Situfin serie mensual'!JF61:JG61))</f>
        <v>64.457631536999997</v>
      </c>
      <c r="D63" s="118">
        <f t="shared" si="3"/>
        <v>25.692483601719644</v>
      </c>
      <c r="E63" s="232">
        <v>260.40733636499999</v>
      </c>
      <c r="F63" s="232">
        <f>IF($A63="","",'2'!N64)</f>
        <v>4.9934619920000003</v>
      </c>
      <c r="G63" s="118">
        <f t="shared" si="4"/>
        <v>1.9175581078871424</v>
      </c>
      <c r="H63" s="118">
        <f t="shared" si="5"/>
        <v>-92.253109720400374</v>
      </c>
      <c r="I63" s="115"/>
    </row>
    <row r="64" spans="1:9" s="119" customFormat="1" ht="12.75" hidden="1" customHeight="1">
      <c r="A64" s="33" t="s">
        <v>42</v>
      </c>
      <c r="B64" s="118">
        <v>279.67770537000001</v>
      </c>
      <c r="C64" s="118">
        <f>IF($A64="","",SUM('Situfin serie mensual'!JF62:JG62))</f>
        <v>13.322610939</v>
      </c>
      <c r="D64" s="118">
        <f t="shared" si="3"/>
        <v>4.7635584400175315</v>
      </c>
      <c r="E64" s="232">
        <v>269.75714247500002</v>
      </c>
      <c r="F64" s="232">
        <f>IF($A64="","",'2'!N65)</f>
        <v>4.6745047889999984</v>
      </c>
      <c r="G64" s="118">
        <f t="shared" si="4"/>
        <v>1.7328567266511625</v>
      </c>
      <c r="H64" s="118">
        <f t="shared" si="5"/>
        <v>-64.912997832008529</v>
      </c>
      <c r="I64" s="115"/>
    </row>
    <row r="65" spans="1:12" s="119" customFormat="1" ht="25.5" hidden="1" customHeight="1">
      <c r="A65" s="33" t="s">
        <v>43</v>
      </c>
      <c r="B65" s="118">
        <v>67.578766563000002</v>
      </c>
      <c r="C65" s="118">
        <f>IF($A65="","",SUM('Situfin serie mensual'!JF63:JG63))</f>
        <v>2</v>
      </c>
      <c r="D65" s="118">
        <f t="shared" si="3"/>
        <v>2.9595094757101092</v>
      </c>
      <c r="E65" s="232">
        <v>51.800550235999999</v>
      </c>
      <c r="F65" s="232">
        <f>IF($A65="","",'2'!N66)</f>
        <v>4.0984999999999987</v>
      </c>
      <c r="G65" s="118">
        <f t="shared" si="4"/>
        <v>7.9120781175634134</v>
      </c>
      <c r="H65" s="118">
        <f t="shared" si="5"/>
        <v>104.92499999999993</v>
      </c>
      <c r="I65" s="115"/>
    </row>
    <row r="66" spans="1:12" s="119" customFormat="1" ht="12.75" hidden="1" customHeight="1">
      <c r="A66" s="13" t="s">
        <v>44</v>
      </c>
      <c r="B66" s="118">
        <v>182.392809172</v>
      </c>
      <c r="C66" s="118">
        <f>IF($A66="","",SUM('Situfin serie mensual'!JF64:JG64))</f>
        <v>21.561753975999999</v>
      </c>
      <c r="D66" s="118">
        <f t="shared" si="3"/>
        <v>11.82160309602274</v>
      </c>
      <c r="E66" s="232">
        <v>107.59470041099999</v>
      </c>
      <c r="F66" s="232">
        <f>IF($A66="","",'2'!N67)</f>
        <v>6.1667605590000001</v>
      </c>
      <c r="G66" s="118">
        <f t="shared" si="4"/>
        <v>5.7314724010045559</v>
      </c>
      <c r="H66" s="118">
        <f t="shared" si="5"/>
        <v>-71.399541216061962</v>
      </c>
      <c r="I66" s="115"/>
    </row>
    <row r="67" spans="1:12" s="119" customFormat="1" ht="12.75" hidden="1" customHeight="1">
      <c r="A67" s="13" t="s">
        <v>45</v>
      </c>
      <c r="B67" s="118">
        <v>35.618892827000003</v>
      </c>
      <c r="C67" s="118">
        <f>IF($A67="","",SUM('Situfin serie mensual'!JF65:JG65))</f>
        <v>7.2050785959999999</v>
      </c>
      <c r="D67" s="118">
        <f t="shared" si="3"/>
        <v>20.228249740930668</v>
      </c>
      <c r="E67" s="232">
        <v>35.218892827000005</v>
      </c>
      <c r="F67" s="232">
        <f>IF($A67="","",'2'!N68)</f>
        <v>6.9879789999999993</v>
      </c>
      <c r="G67" s="118">
        <f t="shared" si="4"/>
        <v>19.841563544674454</v>
      </c>
      <c r="H67" s="118">
        <f t="shared" si="5"/>
        <v>-3.013146811757565</v>
      </c>
      <c r="I67" s="115"/>
    </row>
    <row r="68" spans="1:12" s="119" customFormat="1" ht="12.75" customHeight="1">
      <c r="A68" s="13" t="s">
        <v>171</v>
      </c>
      <c r="B68" s="118">
        <v>1403.618144278</v>
      </c>
      <c r="C68" s="118">
        <f>IF($A68="","",SUM('Situfin serie mensual'!JF66:JG66))</f>
        <v>68.673766913000009</v>
      </c>
      <c r="D68" s="118">
        <f t="shared" si="3"/>
        <v>4.8926246210877222</v>
      </c>
      <c r="E68" s="232">
        <v>1198.5194309789999</v>
      </c>
      <c r="F68" s="232">
        <f>IF($A68="","",'2'!N69)</f>
        <v>153.725420832</v>
      </c>
      <c r="G68" s="118">
        <f t="shared" si="4"/>
        <v>12.826276892851936</v>
      </c>
      <c r="H68" s="118">
        <f t="shared" si="5"/>
        <v>123.84882574848191</v>
      </c>
      <c r="I68" s="115"/>
    </row>
    <row r="69" spans="1:12" s="119" customFormat="1" ht="12.75" hidden="1" customHeight="1">
      <c r="A69" s="13" t="s">
        <v>47</v>
      </c>
      <c r="B69" s="118">
        <v>995.84983444400007</v>
      </c>
      <c r="C69" s="118">
        <f>IF($A69="","",SUM('Situfin serie mensual'!JF67:JG67))</f>
        <v>68.673766913000009</v>
      </c>
      <c r="D69" s="118">
        <f t="shared" si="3"/>
        <v>6.8959962172752425</v>
      </c>
      <c r="E69" s="232">
        <v>1056.869860972</v>
      </c>
      <c r="F69" s="232">
        <f>IF($A69="","",'2'!N70)</f>
        <v>125.64326730000001</v>
      </c>
      <c r="G69" s="118">
        <f t="shared" si="4"/>
        <v>11.888243949396596</v>
      </c>
      <c r="H69" s="118">
        <f t="shared" si="5"/>
        <v>82.956713964988012</v>
      </c>
      <c r="I69" s="115"/>
    </row>
    <row r="70" spans="1:12" s="119" customFormat="1" ht="12.75" hidden="1" customHeight="1">
      <c r="A70" s="13" t="s">
        <v>48</v>
      </c>
      <c r="B70" s="118">
        <v>0</v>
      </c>
      <c r="C70" s="118">
        <f>IF($A70="","",SUM('Situfin serie mensual'!JF68:JG68))</f>
        <v>0</v>
      </c>
      <c r="D70" s="118">
        <f t="shared" si="3"/>
        <v>0</v>
      </c>
      <c r="E70" s="232">
        <v>0</v>
      </c>
      <c r="F70" s="232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>
      <c r="A71" s="13" t="s">
        <v>49</v>
      </c>
      <c r="B71" s="118">
        <v>407.76830983400004</v>
      </c>
      <c r="C71" s="118">
        <f>IF($A71="","",SUM('Situfin serie mensual'!JF69:JG69))</f>
        <v>0</v>
      </c>
      <c r="D71" s="118">
        <f t="shared" si="3"/>
        <v>0</v>
      </c>
      <c r="E71" s="232">
        <v>141.64957000699999</v>
      </c>
      <c r="F71" s="232">
        <f>IF($A71="","",'2'!N72)</f>
        <v>28.082153532</v>
      </c>
      <c r="G71" s="118">
        <f t="shared" si="4"/>
        <v>19.825089148249617</v>
      </c>
      <c r="H71" s="118" t="str">
        <f t="shared" si="5"/>
        <v xml:space="preserve"> </v>
      </c>
      <c r="I71" s="115"/>
    </row>
    <row r="72" spans="1:12" s="119" customFormat="1" ht="13">
      <c r="A72" s="13"/>
      <c r="B72" s="118"/>
      <c r="C72" s="118" t="str">
        <f>IF($A72="","",SUM('Situfin serie mensual'!JF70:JG70))</f>
        <v/>
      </c>
      <c r="D72" s="118"/>
      <c r="E72" s="232"/>
      <c r="F72" s="232" t="str">
        <f>IF($A72="","",'2'!N73)</f>
        <v/>
      </c>
      <c r="G72" s="118"/>
      <c r="H72" s="118"/>
      <c r="I72" s="115"/>
    </row>
    <row r="73" spans="1:12" s="119" customFormat="1" ht="13.5">
      <c r="A73" s="125" t="s">
        <v>50</v>
      </c>
      <c r="B73" s="126">
        <v>-772.39426125899627</v>
      </c>
      <c r="C73" s="126">
        <f>IF($A73="","",SUM('Situfin serie mensual'!JF71:JG71))</f>
        <v>-81.950730787999873</v>
      </c>
      <c r="D73" s="198"/>
      <c r="E73" s="235">
        <v>1797.4814192429985</v>
      </c>
      <c r="F73" s="235">
        <f>IF($A73="","",'2'!N74)</f>
        <v>-1386.8661194419997</v>
      </c>
      <c r="G73" s="198"/>
      <c r="H73" s="198"/>
      <c r="I73" s="115"/>
      <c r="L73" s="214"/>
    </row>
    <row r="74" spans="1:12" s="119" customFormat="1" ht="7.5" customHeight="1">
      <c r="A74" s="113"/>
      <c r="B74" s="116"/>
      <c r="C74" s="116" t="str">
        <f>IF($A74="","",SUM('Situfin serie mensual'!JF72:JG72))</f>
        <v/>
      </c>
      <c r="D74" s="122"/>
      <c r="E74" s="233"/>
      <c r="F74" s="233" t="str">
        <f>IF($A74="","",'2'!N75)</f>
        <v/>
      </c>
      <c r="G74" s="122"/>
      <c r="H74" s="122"/>
      <c r="I74" s="115"/>
    </row>
    <row r="75" spans="1:12" s="10" customFormat="1" ht="6.75" customHeight="1">
      <c r="A75" s="113"/>
      <c r="B75" s="122"/>
      <c r="C75" s="122" t="str">
        <f>IF($A75="","",SUM('Situfin serie mensual'!JF73:JG73))</f>
        <v/>
      </c>
      <c r="D75" s="122"/>
      <c r="E75" s="234"/>
      <c r="F75" s="234" t="str">
        <f>IF($A75="","",'2'!N76)</f>
        <v/>
      </c>
      <c r="G75" s="122"/>
      <c r="H75" s="122"/>
      <c r="I75" s="115"/>
    </row>
    <row r="76" spans="1:12" s="16" customFormat="1" ht="13" outlineLevel="2">
      <c r="A76" s="10" t="s">
        <v>51</v>
      </c>
      <c r="B76" s="116">
        <v>10703.817409997</v>
      </c>
      <c r="C76" s="116">
        <f>IF($A76="","",SUM('Situfin serie mensual'!JF74:JG74))</f>
        <v>1287.881430978</v>
      </c>
      <c r="D76" s="116">
        <f>IFERROR((C76/B76*100),0)</f>
        <v>12.031982438108134</v>
      </c>
      <c r="E76" s="233">
        <v>7819.468806807</v>
      </c>
      <c r="F76" s="233">
        <f>IF($A76="","",'2'!N77)</f>
        <v>693.7317361559999</v>
      </c>
      <c r="G76" s="116">
        <f>IFERROR((F76/E76*100),0)</f>
        <v>8.8718524658873612</v>
      </c>
      <c r="H76" s="116">
        <f>IF(C76&lt;&gt;0,F76/C76*100-100," ")</f>
        <v>-46.133881623777341</v>
      </c>
      <c r="I76" s="115"/>
      <c r="J76" s="127"/>
      <c r="K76" s="128"/>
    </row>
    <row r="77" spans="1:12" s="119" customFormat="1" ht="13">
      <c r="A77" s="13" t="s">
        <v>52</v>
      </c>
      <c r="B77" s="118">
        <v>10496.633257411</v>
      </c>
      <c r="C77" s="118">
        <f>IF($A77="","",SUM('Situfin serie mensual'!JF75:JG75))</f>
        <v>1272.3031458770001</v>
      </c>
      <c r="D77" s="118">
        <f>IFERROR((C77/B77*100),0)</f>
        <v>12.121059340419544</v>
      </c>
      <c r="E77" s="232">
        <v>7656.2672694359999</v>
      </c>
      <c r="F77" s="232">
        <f>IF($A77="","",'2'!N78)</f>
        <v>681.67717232399991</v>
      </c>
      <c r="G77" s="118">
        <f>IFERROR((F77/E77*100),0)</f>
        <v>8.9035184945184884</v>
      </c>
      <c r="H77" s="118">
        <f>IF(C77&lt;&gt;0,F77/C77*100-100," ")</f>
        <v>-46.421796210044029</v>
      </c>
      <c r="I77" s="115"/>
      <c r="J77" s="129"/>
    </row>
    <row r="78" spans="1:12" s="119" customFormat="1" ht="13">
      <c r="A78" s="13" t="s">
        <v>53</v>
      </c>
      <c r="B78" s="118">
        <v>207.18415258599998</v>
      </c>
      <c r="C78" s="118">
        <f>IF($A78="","",SUM('Situfin serie mensual'!JF76:JG76))</f>
        <v>15.578285101000001</v>
      </c>
      <c r="D78" s="118">
        <f>IFERROR((C78/B78*100),0)</f>
        <v>7.5190524499858249</v>
      </c>
      <c r="E78" s="232">
        <v>163.201537371</v>
      </c>
      <c r="F78" s="232">
        <f>IF($A78="","",'2'!N79)</f>
        <v>12.054563831999999</v>
      </c>
      <c r="G78" s="118">
        <f>IFERROR((F78/E78*100),0)</f>
        <v>7.3863053168407395</v>
      </c>
      <c r="H78" s="118">
        <f>IF(C78&lt;&gt;0,F78/C78*100-100," ")</f>
        <v>-22.619442680335894</v>
      </c>
      <c r="I78" s="115"/>
      <c r="J78" s="130"/>
    </row>
    <row r="79" spans="1:12" s="119" customFormat="1" ht="13.5" customHeight="1">
      <c r="A79" s="13" t="s">
        <v>155</v>
      </c>
      <c r="B79" s="118"/>
      <c r="C79" s="118">
        <f>IF($A79="","",SUM('Situfin serie mensual'!JF77:JG77))</f>
        <v>0</v>
      </c>
      <c r="D79" s="118">
        <v>0</v>
      </c>
      <c r="E79" s="232"/>
      <c r="F79" s="232">
        <f>IF($A79="","",'2'!N80)</f>
        <v>0</v>
      </c>
      <c r="G79" s="118">
        <v>0</v>
      </c>
      <c r="H79" s="118" t="str">
        <f>IF(C79&lt;&gt;0,F79/C79*100-100," ")</f>
        <v xml:space="preserve"> </v>
      </c>
      <c r="I79" s="115"/>
      <c r="J79" s="129"/>
    </row>
    <row r="80" spans="1:12" s="119" customFormat="1" ht="13.5">
      <c r="A80" s="150" t="s">
        <v>55</v>
      </c>
      <c r="B80" s="131">
        <v>-11476.211671255996</v>
      </c>
      <c r="C80" s="131">
        <f>IF($A80="","",SUM('Situfin serie mensual'!JF78:JG78))</f>
        <v>-1369.8321617659999</v>
      </c>
      <c r="D80" s="199">
        <f>IFERROR((C80/B80*100),0)</f>
        <v>11.936274800481096</v>
      </c>
      <c r="E80" s="236">
        <v>-6021.9873875640014</v>
      </c>
      <c r="F80" s="236">
        <f>IF($A80="","",'2'!N81)</f>
        <v>-2080.5978555979996</v>
      </c>
      <c r="G80" s="199">
        <f>IFERROR((F80/E80*100),0)</f>
        <v>34.550020146083995</v>
      </c>
      <c r="H80" s="131"/>
      <c r="I80" s="115"/>
      <c r="K80" s="187"/>
      <c r="L80" s="187"/>
    </row>
    <row r="81" spans="1:9" s="119" customFormat="1" ht="5.25" customHeight="1">
      <c r="A81" s="13"/>
      <c r="B81" s="118"/>
      <c r="C81" s="118" t="str">
        <f>IF($A81="","",SUM('Situfin serie mensual'!JF79:JG79))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3">
      <c r="A82" s="152" t="s">
        <v>156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>
      <c r="A83" s="10"/>
      <c r="B83" s="118"/>
      <c r="C83" s="118" t="str">
        <f>IF($A83="","",SUM('Situfin serie mensual'!JF81:JG81))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3" outlineLevel="2">
      <c r="A84" s="10" t="s">
        <v>56</v>
      </c>
      <c r="B84" s="116">
        <v>-1388.2074729199999</v>
      </c>
      <c r="C84" s="116">
        <f>IF($A84="","",SUM('Situfin serie mensual'!JF82:JG82))</f>
        <v>1396.2326824975326</v>
      </c>
      <c r="D84" s="116">
        <f t="shared" ref="D84:D91" si="6">IFERROR((C84/B84*100),0)</f>
        <v>-100.57809871608401</v>
      </c>
      <c r="E84" s="116">
        <v>2463.8270877750001</v>
      </c>
      <c r="F84" s="116">
        <f>IF($A84="","",'2'!N85)</f>
        <v>3965.4977660272484</v>
      </c>
      <c r="G84" s="116">
        <f t="shared" ref="G84:G96" si="7">IFERROR((F84/E84*100),0)</f>
        <v>160.94870397777618</v>
      </c>
      <c r="H84" s="116">
        <f t="shared" ref="H84:H89" si="8">IF(C84&lt;&gt;0,F84/C84*100-100," ")</f>
        <v>184.01410565278439</v>
      </c>
      <c r="I84" s="115"/>
    </row>
    <row r="85" spans="1:9" s="119" customFormat="1" ht="12.75" customHeight="1">
      <c r="A85" s="13" t="s">
        <v>57</v>
      </c>
      <c r="B85" s="118">
        <v>-1388.2074729199999</v>
      </c>
      <c r="C85" s="118">
        <f>IF($A85="","",SUM('Situfin serie mensual'!JF83:JG83))</f>
        <v>1396.2326824975326</v>
      </c>
      <c r="D85" s="118">
        <f t="shared" si="6"/>
        <v>-100.57809871608401</v>
      </c>
      <c r="E85" s="118">
        <v>2463.8270877750001</v>
      </c>
      <c r="F85" s="118">
        <f>IF($A85="","",'2'!N86)</f>
        <v>3965.4977660272484</v>
      </c>
      <c r="G85" s="118">
        <f t="shared" si="7"/>
        <v>160.94870397777618</v>
      </c>
      <c r="H85" s="118">
        <f t="shared" si="8"/>
        <v>184.01410565278439</v>
      </c>
      <c r="I85" s="115"/>
    </row>
    <row r="86" spans="1:9" s="119" customFormat="1" ht="12.75" customHeight="1">
      <c r="A86" s="13" t="s">
        <v>58</v>
      </c>
      <c r="B86" s="118">
        <v>0</v>
      </c>
      <c r="C86" s="118">
        <f>IF($A86="","",SUM('Situfin serie mensual'!JF84:JG84))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3" outlineLevel="2">
      <c r="A87" s="10" t="s">
        <v>59</v>
      </c>
      <c r="B87" s="116">
        <v>10088.004198336001</v>
      </c>
      <c r="C87" s="116">
        <f>IF($A87="","",SUM('Situfin serie mensual'!JF85:JG85))</f>
        <v>-94.405772336999917</v>
      </c>
      <c r="D87" s="116">
        <f t="shared" si="6"/>
        <v>-0.93582209603532873</v>
      </c>
      <c r="E87" s="116">
        <v>8485.8144753390025</v>
      </c>
      <c r="F87" s="116">
        <f>IF($A87="","",'2'!N88)</f>
        <v>1028.8849597110002</v>
      </c>
      <c r="G87" s="116">
        <f t="shared" si="7"/>
        <v>12.124763777255417</v>
      </c>
      <c r="H87" s="116">
        <f t="shared" si="8"/>
        <v>-1189.8538661790656</v>
      </c>
      <c r="I87" s="115"/>
    </row>
    <row r="88" spans="1:9" s="119" customFormat="1" ht="15" customHeight="1">
      <c r="A88" s="13" t="s">
        <v>57</v>
      </c>
      <c r="B88" s="118">
        <v>91.159455707999896</v>
      </c>
      <c r="C88" s="118">
        <f>IF($A88="","",SUM('Situfin serie mensual'!JF86:JG86))</f>
        <v>-365.66909415399988</v>
      </c>
      <c r="D88" s="118">
        <f t="shared" si="6"/>
        <v>-401.1312828866636</v>
      </c>
      <c r="E88" s="118">
        <v>-147.34114300499999</v>
      </c>
      <c r="F88" s="118">
        <f>IF($A88="","",'2'!N89)</f>
        <v>1.3089276400001921</v>
      </c>
      <c r="G88" s="118">
        <f t="shared" si="7"/>
        <v>-0.88836533591691635</v>
      </c>
      <c r="H88" s="118">
        <f t="shared" si="8"/>
        <v>-100.35795413419569</v>
      </c>
      <c r="I88" s="115"/>
    </row>
    <row r="89" spans="1:9" s="119" customFormat="1" ht="12.75" customHeight="1">
      <c r="A89" s="13" t="s">
        <v>58</v>
      </c>
      <c r="B89" s="118">
        <v>9996.8447426279999</v>
      </c>
      <c r="C89" s="118">
        <f>IF($A89="","",SUM('Situfin serie mensual'!JF87:JG87))</f>
        <v>271.26332181700002</v>
      </c>
      <c r="D89" s="118">
        <f t="shared" si="6"/>
        <v>2.7134893939113987</v>
      </c>
      <c r="E89" s="118">
        <v>8633.1556183440025</v>
      </c>
      <c r="F89" s="118">
        <f>IF($A89="","",'2'!N90)</f>
        <v>1027.5760320710001</v>
      </c>
      <c r="G89" s="118">
        <f t="shared" si="7"/>
        <v>11.902670095365524</v>
      </c>
      <c r="H89" s="118">
        <f t="shared" si="8"/>
        <v>278.81126913435963</v>
      </c>
      <c r="I89" s="115"/>
    </row>
    <row r="90" spans="1:9" s="119" customFormat="1" ht="6" customHeight="1">
      <c r="A90" s="13"/>
      <c r="B90" s="118"/>
      <c r="C90" s="118" t="str">
        <f>IF($A90="","",SUM('Situfin serie mensual'!JF88:JG88))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3">
      <c r="A91" s="10" t="s">
        <v>60</v>
      </c>
      <c r="B91" s="116">
        <v>-29.543498246000002</v>
      </c>
      <c r="C91" s="116">
        <f>IF($A91="","",SUM('Situfin serie mensual'!JF89:JG89))</f>
        <v>-347.57162882699993</v>
      </c>
      <c r="D91" s="116">
        <f t="shared" si="6"/>
        <v>1176.4741803183679</v>
      </c>
      <c r="E91" s="116">
        <v>0</v>
      </c>
      <c r="F91" s="116">
        <f>IF($A91="","",'2'!N92)</f>
        <v>16.379722353000162</v>
      </c>
      <c r="G91" s="116"/>
      <c r="H91" s="116">
        <f t="shared" ref="H91:H96" si="9">IF(C91&lt;&gt;0,F91/C91*100-100," ")</f>
        <v>-104.71261777271039</v>
      </c>
      <c r="I91" s="115"/>
    </row>
    <row r="92" spans="1:9" s="134" customFormat="1" ht="12.75" customHeight="1">
      <c r="A92" s="13" t="s">
        <v>61</v>
      </c>
      <c r="B92" s="133">
        <v>0</v>
      </c>
      <c r="C92" s="133">
        <f>IF($A92="","",SUM('Situfin serie mensual'!JF90:JG90))</f>
        <v>2030.0604993309998</v>
      </c>
      <c r="D92" s="133">
        <f>IFERROR((C92/B92*100),0)</f>
        <v>0</v>
      </c>
      <c r="E92" s="133">
        <v>0</v>
      </c>
      <c r="F92" s="133">
        <f>IF($A92="","",'2'!N93)</f>
        <v>1598.1570913160001</v>
      </c>
      <c r="G92" s="133"/>
      <c r="H92" s="133">
        <f t="shared" si="9"/>
        <v>-21.275395888808831</v>
      </c>
      <c r="I92" s="115"/>
    </row>
    <row r="93" spans="1:9" s="134" customFormat="1" ht="12.75" customHeight="1">
      <c r="A93" s="13" t="s">
        <v>62</v>
      </c>
      <c r="B93" s="133">
        <v>29.543498246000002</v>
      </c>
      <c r="C93" s="133">
        <f>IF($A93="","",SUM('Situfin serie mensual'!JF91:JG91))</f>
        <v>2377.6321281579999</v>
      </c>
      <c r="D93" s="133">
        <f>IFERROR((C93/B93*100),0)</f>
        <v>8047.9031574397795</v>
      </c>
      <c r="E93" s="133">
        <v>0</v>
      </c>
      <c r="F93" s="133">
        <f>IF($A93="","",'2'!N94)</f>
        <v>1581.7773689629998</v>
      </c>
      <c r="G93" s="133"/>
      <c r="H93" s="133">
        <f t="shared" si="9"/>
        <v>-33.472577602304071</v>
      </c>
      <c r="I93" s="115"/>
    </row>
    <row r="94" spans="1:9" s="134" customFormat="1" ht="6.75" customHeight="1">
      <c r="B94" s="133"/>
      <c r="C94" s="133" t="str">
        <f>IF($A94="","",SUM('Situfin serie mensual'!JF92:JG92))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3">
      <c r="A95" s="10" t="s">
        <v>63</v>
      </c>
      <c r="B95" s="135">
        <v>-3328.923920536</v>
      </c>
      <c r="C95" s="135">
        <f>IF($A95="","",SUM('Situfin serie mensual'!JF93:JG93))</f>
        <v>1398.0179506275326</v>
      </c>
      <c r="D95" s="135">
        <f>IFERROR((C95/B95*100),0)</f>
        <v>-41.99609195041122</v>
      </c>
      <c r="E95" s="135">
        <v>0</v>
      </c>
      <c r="F95" s="135">
        <f>IF($A95="","",'2'!N96)</f>
        <v>3620.9547608062485</v>
      </c>
      <c r="G95" s="135">
        <f t="shared" si="7"/>
        <v>0</v>
      </c>
      <c r="H95" s="135">
        <f t="shared" si="9"/>
        <v>159.00631384460399</v>
      </c>
      <c r="I95" s="115"/>
    </row>
    <row r="96" spans="1:9" s="134" customFormat="1" ht="13">
      <c r="A96" s="13" t="s">
        <v>64</v>
      </c>
      <c r="B96" s="133">
        <v>-3328.923920536</v>
      </c>
      <c r="C96" s="133">
        <f>IF($A96="","",SUM('Situfin serie mensual'!JF94:JG94))</f>
        <v>1398.0179506275326</v>
      </c>
      <c r="D96" s="133">
        <f>IFERROR((C96/B96*100),0)</f>
        <v>-41.99609195041122</v>
      </c>
      <c r="E96" s="133">
        <v>0</v>
      </c>
      <c r="F96" s="133">
        <f>IF($A96="","",'2'!N97)</f>
        <v>3620.9547608062485</v>
      </c>
      <c r="G96" s="133">
        <f t="shared" si="7"/>
        <v>0</v>
      </c>
      <c r="H96" s="133">
        <f t="shared" si="9"/>
        <v>159.00631384460399</v>
      </c>
      <c r="I96" s="115"/>
    </row>
    <row r="97" spans="1:12" s="134" customFormat="1" ht="7.5" customHeight="1">
      <c r="A97" s="119"/>
      <c r="B97" s="133"/>
      <c r="C97" s="133" t="str">
        <f>IF($A97="","",SUM('Situfin serie mensual'!HI95:JG95))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>
      <c r="A98" s="10" t="s">
        <v>157</v>
      </c>
      <c r="B98" s="135">
        <v>0</v>
      </c>
      <c r="C98" s="135">
        <f>IF($A98="","",SUM('Situfin serie mensual'!GX96:HI96))</f>
        <v>734.43644826141701</v>
      </c>
      <c r="D98" s="135"/>
      <c r="E98" s="135">
        <v>0</v>
      </c>
      <c r="F98" s="135">
        <f>IF($A98="","",'2'!N99)</f>
        <v>-5017.2106619142478</v>
      </c>
      <c r="G98" s="133"/>
      <c r="H98" s="135"/>
      <c r="I98" s="115"/>
    </row>
    <row r="99" spans="1:1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>
      <c r="A100" s="206" t="s">
        <v>192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>
      <c r="A101" s="201" t="s">
        <v>193</v>
      </c>
      <c r="B101" s="202">
        <f>B36-B50-B53-B56-B68-B43</f>
        <v>50442.65814852</v>
      </c>
      <c r="C101" s="202">
        <f>C36-C50-C53-C56-C68-C43</f>
        <v>6838.9472545130011</v>
      </c>
      <c r="D101" s="133">
        <f>IFERROR((C101/B101*100),0)</f>
        <v>13.557864524856839</v>
      </c>
      <c r="E101" s="202">
        <f>E36-E50-E53-E56-E68-E43</f>
        <v>53668.359323598001</v>
      </c>
      <c r="F101" s="202">
        <f>F36-F50-F53-F56-F68-F43</f>
        <v>7350.7150818680002</v>
      </c>
      <c r="G101" s="133">
        <f t="shared" ref="G101:G102" si="10">IFERROR((F101/E101*100),0)</f>
        <v>13.696552632709022</v>
      </c>
      <c r="H101" s="133">
        <f t="shared" ref="H101:H102" si="11">IF(C101&lt;&gt;0,F101/C101*100-100," ")</f>
        <v>7.4831375109273495</v>
      </c>
      <c r="I101" s="115"/>
      <c r="J101" s="205"/>
    </row>
    <row r="102" spans="1:12">
      <c r="A102" s="201" t="s">
        <v>93</v>
      </c>
      <c r="B102" s="202">
        <f>B80+B43</f>
        <v>-3725.5903587369958</v>
      </c>
      <c r="C102" s="202">
        <f>C80+C43</f>
        <v>-446.80725927499986</v>
      </c>
      <c r="D102" s="133">
        <f>IFERROR((C102/B102*100),0)</f>
        <v>11.99292504682321</v>
      </c>
      <c r="E102" s="202">
        <f>E80+E43</f>
        <v>2619.3498687069996</v>
      </c>
      <c r="F102" s="202">
        <f>F80+F43</f>
        <v>-828.93501584099954</v>
      </c>
      <c r="G102" s="133">
        <f t="shared" si="10"/>
        <v>-31.64659390271488</v>
      </c>
      <c r="H102" s="133">
        <f t="shared" si="11"/>
        <v>85.52407075615767</v>
      </c>
      <c r="I102" s="115"/>
      <c r="J102" s="205"/>
    </row>
    <row r="103" spans="1:12" ht="9" customHeight="1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7">
      <c r="A104" s="174" t="s">
        <v>189</v>
      </c>
      <c r="B104" s="137"/>
      <c r="D104" s="137"/>
      <c r="E104" s="137"/>
      <c r="F104" s="138"/>
      <c r="I104" s="115"/>
    </row>
    <row r="105" spans="1:12">
      <c r="A105" s="139" t="s">
        <v>158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>
      <c r="E116" s="137"/>
      <c r="F116" s="140"/>
      <c r="G116" s="140"/>
      <c r="H116" s="140"/>
      <c r="I116" s="141"/>
      <c r="J116" s="140"/>
      <c r="K116" s="140"/>
      <c r="L116" s="140"/>
    </row>
    <row r="117" spans="2:12" hidden="1">
      <c r="E117" s="137"/>
      <c r="F117" s="140"/>
      <c r="G117" s="140"/>
      <c r="H117" s="140"/>
      <c r="I117" s="141"/>
      <c r="J117" s="140"/>
      <c r="K117" s="140"/>
      <c r="L117" s="140"/>
    </row>
    <row r="118" spans="2:12" hidden="1">
      <c r="E118" s="137"/>
      <c r="F118" s="140"/>
      <c r="G118" s="140"/>
      <c r="H118" s="140"/>
      <c r="I118" s="141"/>
      <c r="J118" s="140"/>
      <c r="K118" s="140"/>
      <c r="L118" s="140"/>
    </row>
    <row r="119" spans="2:12" hidden="1">
      <c r="E119" s="137"/>
      <c r="F119" s="140"/>
      <c r="G119" s="140"/>
      <c r="H119" s="140"/>
      <c r="I119" s="141"/>
      <c r="J119" s="140"/>
      <c r="K119" s="140"/>
      <c r="L119" s="140"/>
    </row>
    <row r="120" spans="2:12" hidden="1">
      <c r="E120" s="137"/>
      <c r="F120" s="140"/>
      <c r="G120" s="140"/>
      <c r="H120" s="140"/>
      <c r="I120" s="141"/>
      <c r="J120" s="140"/>
      <c r="K120" s="140"/>
      <c r="L120" s="140"/>
    </row>
    <row r="121" spans="2:12" hidden="1">
      <c r="G121" s="140"/>
      <c r="H121" s="140"/>
      <c r="I121" s="141"/>
      <c r="J121" s="140"/>
      <c r="K121" s="140"/>
      <c r="L121" s="140"/>
    </row>
    <row r="122" spans="2:12" hidden="1">
      <c r="G122" s="140"/>
      <c r="H122" s="140"/>
      <c r="I122" s="141"/>
      <c r="J122" s="140"/>
      <c r="K122" s="140"/>
      <c r="L122" s="140"/>
    </row>
    <row r="123" spans="2:12" hidden="1">
      <c r="G123" s="140"/>
      <c r="H123" s="140"/>
      <c r="I123" s="140"/>
      <c r="J123" s="140"/>
      <c r="K123" s="140"/>
      <c r="L123" s="140"/>
    </row>
    <row r="124" spans="2:12" hidden="1">
      <c r="G124" s="140"/>
      <c r="H124" s="140"/>
      <c r="I124" s="140"/>
      <c r="J124" s="140"/>
      <c r="K124" s="140"/>
      <c r="L124" s="140"/>
    </row>
    <row r="125" spans="2:12" hidden="1">
      <c r="G125" s="140"/>
      <c r="H125" s="140"/>
      <c r="I125" s="140"/>
      <c r="J125" s="140"/>
      <c r="K125" s="140"/>
      <c r="L125" s="140"/>
    </row>
    <row r="126" spans="2:12" hidden="1">
      <c r="G126" s="140"/>
      <c r="H126" s="140"/>
      <c r="I126" s="140"/>
      <c r="J126" s="140"/>
      <c r="K126" s="140"/>
      <c r="L126" s="140"/>
    </row>
    <row r="127" spans="2:12" hidden="1">
      <c r="G127" s="140"/>
      <c r="H127" s="140"/>
      <c r="I127" s="140"/>
      <c r="J127" s="140"/>
      <c r="K127" s="140"/>
      <c r="L127" s="140"/>
    </row>
    <row r="128" spans="2:12" hidden="1">
      <c r="G128" s="140"/>
      <c r="H128" s="140"/>
      <c r="I128" s="140"/>
      <c r="J128" s="140"/>
      <c r="K128" s="140"/>
      <c r="L128" s="140"/>
    </row>
    <row r="129" spans="7:12" hidden="1">
      <c r="G129" s="140"/>
      <c r="H129" s="140"/>
      <c r="I129" s="140"/>
      <c r="J129" s="140"/>
      <c r="K129" s="140"/>
      <c r="L129" s="140"/>
    </row>
    <row r="130" spans="7:12" hidden="1">
      <c r="G130" s="140"/>
      <c r="H130" s="140"/>
      <c r="I130" s="140"/>
      <c r="J130" s="140"/>
      <c r="K130" s="140"/>
      <c r="L130" s="140"/>
    </row>
    <row r="131" spans="7:12" hidden="1">
      <c r="G131" s="140"/>
      <c r="H131" s="140"/>
      <c r="I131" s="140"/>
      <c r="J131" s="140"/>
      <c r="K131" s="140"/>
      <c r="L131" s="140"/>
    </row>
    <row r="132" spans="7:12" hidden="1">
      <c r="G132" s="140"/>
      <c r="H132" s="140"/>
      <c r="I132" s="140"/>
      <c r="J132" s="140"/>
      <c r="K132" s="140"/>
      <c r="L132" s="140"/>
    </row>
    <row r="133" spans="7:12" hidden="1">
      <c r="G133" s="140"/>
      <c r="H133" s="140"/>
      <c r="I133" s="140"/>
      <c r="J133" s="140"/>
      <c r="K133" s="140"/>
      <c r="L133" s="140"/>
    </row>
    <row r="134" spans="7:12" hidden="1">
      <c r="G134" s="140"/>
      <c r="H134" s="140"/>
      <c r="I134" s="140"/>
      <c r="J134" s="140"/>
      <c r="K134" s="140"/>
      <c r="L134" s="140"/>
    </row>
    <row r="135" spans="7:12" hidden="1">
      <c r="G135" s="140"/>
      <c r="H135" s="140"/>
      <c r="I135" s="140"/>
      <c r="J135" s="140"/>
      <c r="K135" s="140"/>
      <c r="L135" s="140"/>
    </row>
    <row r="136" spans="7:12" hidden="1">
      <c r="G136" s="140"/>
      <c r="H136" s="140"/>
      <c r="I136" s="140"/>
      <c r="J136" s="140"/>
      <c r="K136" s="140"/>
      <c r="L136" s="140"/>
    </row>
    <row r="137" spans="7:12" hidden="1">
      <c r="G137" s="140"/>
      <c r="H137" s="140"/>
      <c r="I137" s="140"/>
      <c r="J137" s="140"/>
      <c r="K137" s="140"/>
      <c r="L137" s="140"/>
    </row>
    <row r="138" spans="7:12" hidden="1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1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1" sqref="P1"/>
    </sheetView>
  </sheetViews>
  <sheetFormatPr baseColWidth="10" defaultColWidth="0" defaultRowHeight="14" zeroHeight="1" outlineLevelRow="2"/>
  <cols>
    <col min="1" max="1" width="69.81640625" style="104" customWidth="1"/>
    <col min="2" max="2" width="8.54296875" style="104" bestFit="1" customWidth="1"/>
    <col min="3" max="3" width="8.81640625" style="104" customWidth="1"/>
    <col min="4" max="4" width="8.54296875" style="104" hidden="1" customWidth="1"/>
    <col min="5" max="5" width="9.26953125" style="104" hidden="1" customWidth="1"/>
    <col min="6" max="6" width="8.54296875" style="145" hidden="1" customWidth="1"/>
    <col min="7" max="7" width="7.7265625" style="104" hidden="1" customWidth="1"/>
    <col min="8" max="10" width="8.54296875" style="104" hidden="1" customWidth="1"/>
    <col min="11" max="11" width="10.26953125" style="104" hidden="1" customWidth="1"/>
    <col min="12" max="12" width="10.1796875" style="104" hidden="1" customWidth="1"/>
    <col min="13" max="13" width="10.26953125" style="104" hidden="1" customWidth="1"/>
    <col min="14" max="14" width="10.26953125" style="104" customWidth="1"/>
    <col min="15" max="15" width="5.1796875" style="104" customWidth="1"/>
    <col min="16" max="16" width="16.81640625" style="104" customWidth="1"/>
    <col min="17" max="256" width="12.26953125" style="104" hidden="1"/>
    <col min="257" max="257" width="53.81640625" style="104" hidden="1"/>
    <col min="258" max="259" width="7.7265625" style="104" hidden="1"/>
    <col min="260" max="260" width="8.26953125" style="104" hidden="1"/>
    <col min="261" max="261" width="8.453125" style="104" hidden="1"/>
    <col min="262" max="262" width="9" style="104" hidden="1"/>
    <col min="263" max="263" width="8" style="104" hidden="1"/>
    <col min="264" max="269" width="12.26953125" style="104" hidden="1"/>
    <col min="270" max="270" width="11.26953125" style="104" hidden="1"/>
    <col min="271" max="512" width="12.26953125" style="104" hidden="1"/>
    <col min="513" max="513" width="53.81640625" style="104" hidden="1"/>
    <col min="514" max="515" width="7.7265625" style="104" hidden="1"/>
    <col min="516" max="516" width="8.26953125" style="104" hidden="1"/>
    <col min="517" max="517" width="8.453125" style="104" hidden="1"/>
    <col min="518" max="518" width="9" style="104" hidden="1"/>
    <col min="519" max="519" width="8" style="104" hidden="1"/>
    <col min="520" max="525" width="12.26953125" style="104" hidden="1"/>
    <col min="526" max="526" width="11.26953125" style="104" hidden="1"/>
    <col min="527" max="768" width="12.26953125" style="104" hidden="1"/>
    <col min="769" max="769" width="53.81640625" style="104" hidden="1"/>
    <col min="770" max="771" width="7.7265625" style="104" hidden="1"/>
    <col min="772" max="772" width="8.26953125" style="104" hidden="1"/>
    <col min="773" max="773" width="8.453125" style="104" hidden="1"/>
    <col min="774" max="774" width="9" style="104" hidden="1"/>
    <col min="775" max="775" width="8" style="104" hidden="1"/>
    <col min="776" max="781" width="12.26953125" style="104" hidden="1"/>
    <col min="782" max="782" width="11.26953125" style="104" hidden="1"/>
    <col min="783" max="1024" width="12.26953125" style="104" hidden="1"/>
    <col min="1025" max="1025" width="53.81640625" style="104" hidden="1"/>
    <col min="1026" max="1027" width="7.7265625" style="104" hidden="1"/>
    <col min="1028" max="1028" width="8.26953125" style="104" hidden="1"/>
    <col min="1029" max="1029" width="8.453125" style="104" hidden="1"/>
    <col min="1030" max="1030" width="9" style="104" hidden="1"/>
    <col min="1031" max="1031" width="8" style="104" hidden="1"/>
    <col min="1032" max="1037" width="12.26953125" style="104" hidden="1"/>
    <col min="1038" max="1038" width="11.26953125" style="104" hidden="1"/>
    <col min="1039" max="1280" width="12.26953125" style="104" hidden="1"/>
    <col min="1281" max="1281" width="53.81640625" style="104" hidden="1"/>
    <col min="1282" max="1283" width="7.7265625" style="104" hidden="1"/>
    <col min="1284" max="1284" width="8.26953125" style="104" hidden="1"/>
    <col min="1285" max="1285" width="8.453125" style="104" hidden="1"/>
    <col min="1286" max="1286" width="9" style="104" hidden="1"/>
    <col min="1287" max="1287" width="8" style="104" hidden="1"/>
    <col min="1288" max="1293" width="12.26953125" style="104" hidden="1"/>
    <col min="1294" max="1294" width="11.26953125" style="104" hidden="1"/>
    <col min="1295" max="1536" width="12.26953125" style="104" hidden="1"/>
    <col min="1537" max="1537" width="53.81640625" style="104" hidden="1"/>
    <col min="1538" max="1539" width="7.7265625" style="104" hidden="1"/>
    <col min="1540" max="1540" width="8.26953125" style="104" hidden="1"/>
    <col min="1541" max="1541" width="8.453125" style="104" hidden="1"/>
    <col min="1542" max="1542" width="9" style="104" hidden="1"/>
    <col min="1543" max="1543" width="8" style="104" hidden="1"/>
    <col min="1544" max="1549" width="12.26953125" style="104" hidden="1"/>
    <col min="1550" max="1550" width="11.26953125" style="104" hidden="1"/>
    <col min="1551" max="1792" width="12.26953125" style="104" hidden="1"/>
    <col min="1793" max="1793" width="53.81640625" style="104" hidden="1"/>
    <col min="1794" max="1795" width="7.7265625" style="104" hidden="1"/>
    <col min="1796" max="1796" width="8.26953125" style="104" hidden="1"/>
    <col min="1797" max="1797" width="8.453125" style="104" hidden="1"/>
    <col min="1798" max="1798" width="9" style="104" hidden="1"/>
    <col min="1799" max="1799" width="8" style="104" hidden="1"/>
    <col min="1800" max="1805" width="12.26953125" style="104" hidden="1"/>
    <col min="1806" max="1806" width="11.26953125" style="104" hidden="1"/>
    <col min="1807" max="2048" width="12.26953125" style="104" hidden="1"/>
    <col min="2049" max="2049" width="53.81640625" style="104" hidden="1"/>
    <col min="2050" max="2051" width="7.7265625" style="104" hidden="1"/>
    <col min="2052" max="2052" width="8.26953125" style="104" hidden="1"/>
    <col min="2053" max="2053" width="8.453125" style="104" hidden="1"/>
    <col min="2054" max="2054" width="9" style="104" hidden="1"/>
    <col min="2055" max="2055" width="8" style="104" hidden="1"/>
    <col min="2056" max="2061" width="12.26953125" style="104" hidden="1"/>
    <col min="2062" max="2062" width="11.26953125" style="104" hidden="1"/>
    <col min="2063" max="2304" width="12.26953125" style="104" hidden="1"/>
    <col min="2305" max="2305" width="53.81640625" style="104" hidden="1"/>
    <col min="2306" max="2307" width="7.7265625" style="104" hidden="1"/>
    <col min="2308" max="2308" width="8.26953125" style="104" hidden="1"/>
    <col min="2309" max="2309" width="8.453125" style="104" hidden="1"/>
    <col min="2310" max="2310" width="9" style="104" hidden="1"/>
    <col min="2311" max="2311" width="8" style="104" hidden="1"/>
    <col min="2312" max="2317" width="12.26953125" style="104" hidden="1"/>
    <col min="2318" max="2318" width="11.26953125" style="104" hidden="1"/>
    <col min="2319" max="2560" width="12.26953125" style="104" hidden="1"/>
    <col min="2561" max="2561" width="53.81640625" style="104" hidden="1"/>
    <col min="2562" max="2563" width="7.7265625" style="104" hidden="1"/>
    <col min="2564" max="2564" width="8.26953125" style="104" hidden="1"/>
    <col min="2565" max="2565" width="8.453125" style="104" hidden="1"/>
    <col min="2566" max="2566" width="9" style="104" hidden="1"/>
    <col min="2567" max="2567" width="8" style="104" hidden="1"/>
    <col min="2568" max="2573" width="12.26953125" style="104" hidden="1"/>
    <col min="2574" max="2574" width="11.26953125" style="104" hidden="1"/>
    <col min="2575" max="2816" width="12.26953125" style="104" hidden="1"/>
    <col min="2817" max="2817" width="53.81640625" style="104" hidden="1"/>
    <col min="2818" max="2819" width="7.7265625" style="104" hidden="1"/>
    <col min="2820" max="2820" width="8.26953125" style="104" hidden="1"/>
    <col min="2821" max="2821" width="8.453125" style="104" hidden="1"/>
    <col min="2822" max="2822" width="9" style="104" hidden="1"/>
    <col min="2823" max="2823" width="8" style="104" hidden="1"/>
    <col min="2824" max="2829" width="12.26953125" style="104" hidden="1"/>
    <col min="2830" max="2830" width="11.26953125" style="104" hidden="1"/>
    <col min="2831" max="3072" width="12.26953125" style="104" hidden="1"/>
    <col min="3073" max="3073" width="53.81640625" style="104" hidden="1"/>
    <col min="3074" max="3075" width="7.7265625" style="104" hidden="1"/>
    <col min="3076" max="3076" width="8.26953125" style="104" hidden="1"/>
    <col min="3077" max="3077" width="8.453125" style="104" hidden="1"/>
    <col min="3078" max="3078" width="9" style="104" hidden="1"/>
    <col min="3079" max="3079" width="8" style="104" hidden="1"/>
    <col min="3080" max="3085" width="12.26953125" style="104" hidden="1"/>
    <col min="3086" max="3086" width="11.26953125" style="104" hidden="1"/>
    <col min="3087" max="3328" width="12.26953125" style="104" hidden="1"/>
    <col min="3329" max="3329" width="53.81640625" style="104" hidden="1"/>
    <col min="3330" max="3331" width="7.7265625" style="104" hidden="1"/>
    <col min="3332" max="3332" width="8.26953125" style="104" hidden="1"/>
    <col min="3333" max="3333" width="8.453125" style="104" hidden="1"/>
    <col min="3334" max="3334" width="9" style="104" hidden="1"/>
    <col min="3335" max="3335" width="8" style="104" hidden="1"/>
    <col min="3336" max="3341" width="12.26953125" style="104" hidden="1"/>
    <col min="3342" max="3342" width="11.26953125" style="104" hidden="1"/>
    <col min="3343" max="3584" width="12.26953125" style="104" hidden="1"/>
    <col min="3585" max="3585" width="53.81640625" style="104" hidden="1"/>
    <col min="3586" max="3587" width="7.7265625" style="104" hidden="1"/>
    <col min="3588" max="3588" width="8.26953125" style="104" hidden="1"/>
    <col min="3589" max="3589" width="8.453125" style="104" hidden="1"/>
    <col min="3590" max="3590" width="9" style="104" hidden="1"/>
    <col min="3591" max="3591" width="8" style="104" hidden="1"/>
    <col min="3592" max="3597" width="12.26953125" style="104" hidden="1"/>
    <col min="3598" max="3598" width="11.26953125" style="104" hidden="1"/>
    <col min="3599" max="3840" width="12.26953125" style="104" hidden="1"/>
    <col min="3841" max="3841" width="53.81640625" style="104" hidden="1"/>
    <col min="3842" max="3843" width="7.7265625" style="104" hidden="1"/>
    <col min="3844" max="3844" width="8.26953125" style="104" hidden="1"/>
    <col min="3845" max="3845" width="8.453125" style="104" hidden="1"/>
    <col min="3846" max="3846" width="9" style="104" hidden="1"/>
    <col min="3847" max="3847" width="8" style="104" hidden="1"/>
    <col min="3848" max="3853" width="12.26953125" style="104" hidden="1"/>
    <col min="3854" max="3854" width="11.26953125" style="104" hidden="1"/>
    <col min="3855" max="4096" width="12.26953125" style="104" hidden="1"/>
    <col min="4097" max="4097" width="53.81640625" style="104" hidden="1"/>
    <col min="4098" max="4099" width="7.7265625" style="104" hidden="1"/>
    <col min="4100" max="4100" width="8.26953125" style="104" hidden="1"/>
    <col min="4101" max="4101" width="8.453125" style="104" hidden="1"/>
    <col min="4102" max="4102" width="9" style="104" hidden="1"/>
    <col min="4103" max="4103" width="8" style="104" hidden="1"/>
    <col min="4104" max="4109" width="12.26953125" style="104" hidden="1"/>
    <col min="4110" max="4110" width="11.26953125" style="104" hidden="1"/>
    <col min="4111" max="4352" width="12.26953125" style="104" hidden="1"/>
    <col min="4353" max="4353" width="53.81640625" style="104" hidden="1"/>
    <col min="4354" max="4355" width="7.7265625" style="104" hidden="1"/>
    <col min="4356" max="4356" width="8.26953125" style="104" hidden="1"/>
    <col min="4357" max="4357" width="8.453125" style="104" hidden="1"/>
    <col min="4358" max="4358" width="9" style="104" hidden="1"/>
    <col min="4359" max="4359" width="8" style="104" hidden="1"/>
    <col min="4360" max="4365" width="12.26953125" style="104" hidden="1"/>
    <col min="4366" max="4366" width="11.26953125" style="104" hidden="1"/>
    <col min="4367" max="4608" width="12.26953125" style="104" hidden="1"/>
    <col min="4609" max="4609" width="53.81640625" style="104" hidden="1"/>
    <col min="4610" max="4611" width="7.7265625" style="104" hidden="1"/>
    <col min="4612" max="4612" width="8.26953125" style="104" hidden="1"/>
    <col min="4613" max="4613" width="8.453125" style="104" hidden="1"/>
    <col min="4614" max="4614" width="9" style="104" hidden="1"/>
    <col min="4615" max="4615" width="8" style="104" hidden="1"/>
    <col min="4616" max="4621" width="12.26953125" style="104" hidden="1"/>
    <col min="4622" max="4622" width="11.26953125" style="104" hidden="1"/>
    <col min="4623" max="4864" width="12.26953125" style="104" hidden="1"/>
    <col min="4865" max="4865" width="53.81640625" style="104" hidden="1"/>
    <col min="4866" max="4867" width="7.7265625" style="104" hidden="1"/>
    <col min="4868" max="4868" width="8.26953125" style="104" hidden="1"/>
    <col min="4869" max="4869" width="8.453125" style="104" hidden="1"/>
    <col min="4870" max="4870" width="9" style="104" hidden="1"/>
    <col min="4871" max="4871" width="8" style="104" hidden="1"/>
    <col min="4872" max="4877" width="12.26953125" style="104" hidden="1"/>
    <col min="4878" max="4878" width="11.26953125" style="104" hidden="1"/>
    <col min="4879" max="5120" width="12.26953125" style="104" hidden="1"/>
    <col min="5121" max="5121" width="53.81640625" style="104" hidden="1"/>
    <col min="5122" max="5123" width="7.7265625" style="104" hidden="1"/>
    <col min="5124" max="5124" width="8.26953125" style="104" hidden="1"/>
    <col min="5125" max="5125" width="8.453125" style="104" hidden="1"/>
    <col min="5126" max="5126" width="9" style="104" hidden="1"/>
    <col min="5127" max="5127" width="8" style="104" hidden="1"/>
    <col min="5128" max="5133" width="12.26953125" style="104" hidden="1"/>
    <col min="5134" max="5134" width="11.26953125" style="104" hidden="1"/>
    <col min="5135" max="5376" width="12.26953125" style="104" hidden="1"/>
    <col min="5377" max="5377" width="53.81640625" style="104" hidden="1"/>
    <col min="5378" max="5379" width="7.7265625" style="104" hidden="1"/>
    <col min="5380" max="5380" width="8.26953125" style="104" hidden="1"/>
    <col min="5381" max="5381" width="8.453125" style="104" hidden="1"/>
    <col min="5382" max="5382" width="9" style="104" hidden="1"/>
    <col min="5383" max="5383" width="8" style="104" hidden="1"/>
    <col min="5384" max="5389" width="12.26953125" style="104" hidden="1"/>
    <col min="5390" max="5390" width="11.26953125" style="104" hidden="1"/>
    <col min="5391" max="5632" width="12.26953125" style="104" hidden="1"/>
    <col min="5633" max="5633" width="53.81640625" style="104" hidden="1"/>
    <col min="5634" max="5635" width="7.7265625" style="104" hidden="1"/>
    <col min="5636" max="5636" width="8.26953125" style="104" hidden="1"/>
    <col min="5637" max="5637" width="8.453125" style="104" hidden="1"/>
    <col min="5638" max="5638" width="9" style="104" hidden="1"/>
    <col min="5639" max="5639" width="8" style="104" hidden="1"/>
    <col min="5640" max="5645" width="12.26953125" style="104" hidden="1"/>
    <col min="5646" max="5646" width="11.26953125" style="104" hidden="1"/>
    <col min="5647" max="5888" width="12.26953125" style="104" hidden="1"/>
    <col min="5889" max="5889" width="53.81640625" style="104" hidden="1"/>
    <col min="5890" max="5891" width="7.7265625" style="104" hidden="1"/>
    <col min="5892" max="5892" width="8.26953125" style="104" hidden="1"/>
    <col min="5893" max="5893" width="8.453125" style="104" hidden="1"/>
    <col min="5894" max="5894" width="9" style="104" hidden="1"/>
    <col min="5895" max="5895" width="8" style="104" hidden="1"/>
    <col min="5896" max="5901" width="12.26953125" style="104" hidden="1"/>
    <col min="5902" max="5902" width="11.26953125" style="104" hidden="1"/>
    <col min="5903" max="6144" width="12.26953125" style="104" hidden="1"/>
    <col min="6145" max="6145" width="53.81640625" style="104" hidden="1"/>
    <col min="6146" max="6147" width="7.7265625" style="104" hidden="1"/>
    <col min="6148" max="6148" width="8.26953125" style="104" hidden="1"/>
    <col min="6149" max="6149" width="8.453125" style="104" hidden="1"/>
    <col min="6150" max="6150" width="9" style="104" hidden="1"/>
    <col min="6151" max="6151" width="8" style="104" hidden="1"/>
    <col min="6152" max="6157" width="12.26953125" style="104" hidden="1"/>
    <col min="6158" max="6158" width="11.26953125" style="104" hidden="1"/>
    <col min="6159" max="6400" width="12.26953125" style="104" hidden="1"/>
    <col min="6401" max="6401" width="53.81640625" style="104" hidden="1"/>
    <col min="6402" max="6403" width="7.7265625" style="104" hidden="1"/>
    <col min="6404" max="6404" width="8.26953125" style="104" hidden="1"/>
    <col min="6405" max="6405" width="8.453125" style="104" hidden="1"/>
    <col min="6406" max="6406" width="9" style="104" hidden="1"/>
    <col min="6407" max="6407" width="8" style="104" hidden="1"/>
    <col min="6408" max="6413" width="12.26953125" style="104" hidden="1"/>
    <col min="6414" max="6414" width="11.26953125" style="104" hidden="1"/>
    <col min="6415" max="6656" width="12.26953125" style="104" hidden="1"/>
    <col min="6657" max="6657" width="53.81640625" style="104" hidden="1"/>
    <col min="6658" max="6659" width="7.7265625" style="104" hidden="1"/>
    <col min="6660" max="6660" width="8.26953125" style="104" hidden="1"/>
    <col min="6661" max="6661" width="8.453125" style="104" hidden="1"/>
    <col min="6662" max="6662" width="9" style="104" hidden="1"/>
    <col min="6663" max="6663" width="8" style="104" hidden="1"/>
    <col min="6664" max="6669" width="12.26953125" style="104" hidden="1"/>
    <col min="6670" max="6670" width="11.26953125" style="104" hidden="1"/>
    <col min="6671" max="6912" width="12.26953125" style="104" hidden="1"/>
    <col min="6913" max="6913" width="53.81640625" style="104" hidden="1"/>
    <col min="6914" max="6915" width="7.7265625" style="104" hidden="1"/>
    <col min="6916" max="6916" width="8.26953125" style="104" hidden="1"/>
    <col min="6917" max="6917" width="8.453125" style="104" hidden="1"/>
    <col min="6918" max="6918" width="9" style="104" hidden="1"/>
    <col min="6919" max="6919" width="8" style="104" hidden="1"/>
    <col min="6920" max="6925" width="12.26953125" style="104" hidden="1"/>
    <col min="6926" max="6926" width="11.26953125" style="104" hidden="1"/>
    <col min="6927" max="7168" width="12.26953125" style="104" hidden="1"/>
    <col min="7169" max="7169" width="53.81640625" style="104" hidden="1"/>
    <col min="7170" max="7171" width="7.7265625" style="104" hidden="1"/>
    <col min="7172" max="7172" width="8.26953125" style="104" hidden="1"/>
    <col min="7173" max="7173" width="8.453125" style="104" hidden="1"/>
    <col min="7174" max="7174" width="9" style="104" hidden="1"/>
    <col min="7175" max="7175" width="8" style="104" hidden="1"/>
    <col min="7176" max="7181" width="12.26953125" style="104" hidden="1"/>
    <col min="7182" max="7182" width="11.26953125" style="104" hidden="1"/>
    <col min="7183" max="7424" width="12.26953125" style="104" hidden="1"/>
    <col min="7425" max="7425" width="53.81640625" style="104" hidden="1"/>
    <col min="7426" max="7427" width="7.7265625" style="104" hidden="1"/>
    <col min="7428" max="7428" width="8.26953125" style="104" hidden="1"/>
    <col min="7429" max="7429" width="8.453125" style="104" hidden="1"/>
    <col min="7430" max="7430" width="9" style="104" hidden="1"/>
    <col min="7431" max="7431" width="8" style="104" hidden="1"/>
    <col min="7432" max="7437" width="12.26953125" style="104" hidden="1"/>
    <col min="7438" max="7438" width="11.26953125" style="104" hidden="1"/>
    <col min="7439" max="7680" width="12.26953125" style="104" hidden="1"/>
    <col min="7681" max="7681" width="53.81640625" style="104" hidden="1"/>
    <col min="7682" max="7683" width="7.7265625" style="104" hidden="1"/>
    <col min="7684" max="7684" width="8.26953125" style="104" hidden="1"/>
    <col min="7685" max="7685" width="8.453125" style="104" hidden="1"/>
    <col min="7686" max="7686" width="9" style="104" hidden="1"/>
    <col min="7687" max="7687" width="8" style="104" hidden="1"/>
    <col min="7688" max="7693" width="12.26953125" style="104" hidden="1"/>
    <col min="7694" max="7694" width="11.26953125" style="104" hidden="1"/>
    <col min="7695" max="7936" width="12.26953125" style="104" hidden="1"/>
    <col min="7937" max="7937" width="53.81640625" style="104" hidden="1"/>
    <col min="7938" max="7939" width="7.7265625" style="104" hidden="1"/>
    <col min="7940" max="7940" width="8.26953125" style="104" hidden="1"/>
    <col min="7941" max="7941" width="8.453125" style="104" hidden="1"/>
    <col min="7942" max="7942" width="9" style="104" hidden="1"/>
    <col min="7943" max="7943" width="8" style="104" hidden="1"/>
    <col min="7944" max="7949" width="12.26953125" style="104" hidden="1"/>
    <col min="7950" max="7950" width="11.26953125" style="104" hidden="1"/>
    <col min="7951" max="8192" width="12.26953125" style="104" hidden="1"/>
    <col min="8193" max="8193" width="53.81640625" style="104" hidden="1"/>
    <col min="8194" max="8195" width="7.7265625" style="104" hidden="1"/>
    <col min="8196" max="8196" width="8.26953125" style="104" hidden="1"/>
    <col min="8197" max="8197" width="8.453125" style="104" hidden="1"/>
    <col min="8198" max="8198" width="9" style="104" hidden="1"/>
    <col min="8199" max="8199" width="8" style="104" hidden="1"/>
    <col min="8200" max="8205" width="12.26953125" style="104" hidden="1"/>
    <col min="8206" max="8206" width="11.26953125" style="104" hidden="1"/>
    <col min="8207" max="8448" width="12.26953125" style="104" hidden="1"/>
    <col min="8449" max="8449" width="53.81640625" style="104" hidden="1"/>
    <col min="8450" max="8451" width="7.7265625" style="104" hidden="1"/>
    <col min="8452" max="8452" width="8.26953125" style="104" hidden="1"/>
    <col min="8453" max="8453" width="8.453125" style="104" hidden="1"/>
    <col min="8454" max="8454" width="9" style="104" hidden="1"/>
    <col min="8455" max="8455" width="8" style="104" hidden="1"/>
    <col min="8456" max="8461" width="12.26953125" style="104" hidden="1"/>
    <col min="8462" max="8462" width="11.26953125" style="104" hidden="1"/>
    <col min="8463" max="8704" width="12.26953125" style="104" hidden="1"/>
    <col min="8705" max="8705" width="53.81640625" style="104" hidden="1"/>
    <col min="8706" max="8707" width="7.7265625" style="104" hidden="1"/>
    <col min="8708" max="8708" width="8.26953125" style="104" hidden="1"/>
    <col min="8709" max="8709" width="8.453125" style="104" hidden="1"/>
    <col min="8710" max="8710" width="9" style="104" hidden="1"/>
    <col min="8711" max="8711" width="8" style="104" hidden="1"/>
    <col min="8712" max="8717" width="12.26953125" style="104" hidden="1"/>
    <col min="8718" max="8718" width="11.26953125" style="104" hidden="1"/>
    <col min="8719" max="8960" width="12.26953125" style="104" hidden="1"/>
    <col min="8961" max="8961" width="53.81640625" style="104" hidden="1"/>
    <col min="8962" max="8963" width="7.7265625" style="104" hidden="1"/>
    <col min="8964" max="8964" width="8.26953125" style="104" hidden="1"/>
    <col min="8965" max="8965" width="8.453125" style="104" hidden="1"/>
    <col min="8966" max="8966" width="9" style="104" hidden="1"/>
    <col min="8967" max="8967" width="8" style="104" hidden="1"/>
    <col min="8968" max="8973" width="12.26953125" style="104" hidden="1"/>
    <col min="8974" max="8974" width="11.26953125" style="104" hidden="1"/>
    <col min="8975" max="9216" width="12.26953125" style="104" hidden="1"/>
    <col min="9217" max="9217" width="53.81640625" style="104" hidden="1"/>
    <col min="9218" max="9219" width="7.7265625" style="104" hidden="1"/>
    <col min="9220" max="9220" width="8.26953125" style="104" hidden="1"/>
    <col min="9221" max="9221" width="8.453125" style="104" hidden="1"/>
    <col min="9222" max="9222" width="9" style="104" hidden="1"/>
    <col min="9223" max="9223" width="8" style="104" hidden="1"/>
    <col min="9224" max="9229" width="12.26953125" style="104" hidden="1"/>
    <col min="9230" max="9230" width="11.26953125" style="104" hidden="1"/>
    <col min="9231" max="9472" width="12.26953125" style="104" hidden="1"/>
    <col min="9473" max="9473" width="53.81640625" style="104" hidden="1"/>
    <col min="9474" max="9475" width="7.7265625" style="104" hidden="1"/>
    <col min="9476" max="9476" width="8.26953125" style="104" hidden="1"/>
    <col min="9477" max="9477" width="8.453125" style="104" hidden="1"/>
    <col min="9478" max="9478" width="9" style="104" hidden="1"/>
    <col min="9479" max="9479" width="8" style="104" hidden="1"/>
    <col min="9480" max="9485" width="12.26953125" style="104" hidden="1"/>
    <col min="9486" max="9486" width="11.26953125" style="104" hidden="1"/>
    <col min="9487" max="9728" width="12.26953125" style="104" hidden="1"/>
    <col min="9729" max="9729" width="53.81640625" style="104" hidden="1"/>
    <col min="9730" max="9731" width="7.7265625" style="104" hidden="1"/>
    <col min="9732" max="9732" width="8.26953125" style="104" hidden="1"/>
    <col min="9733" max="9733" width="8.453125" style="104" hidden="1"/>
    <col min="9734" max="9734" width="9" style="104" hidden="1"/>
    <col min="9735" max="9735" width="8" style="104" hidden="1"/>
    <col min="9736" max="9741" width="12.26953125" style="104" hidden="1"/>
    <col min="9742" max="9742" width="11.26953125" style="104" hidden="1"/>
    <col min="9743" max="9984" width="12.26953125" style="104" hidden="1"/>
    <col min="9985" max="9985" width="53.81640625" style="104" hidden="1"/>
    <col min="9986" max="9987" width="7.7265625" style="104" hidden="1"/>
    <col min="9988" max="9988" width="8.26953125" style="104" hidden="1"/>
    <col min="9989" max="9989" width="8.453125" style="104" hidden="1"/>
    <col min="9990" max="9990" width="9" style="104" hidden="1"/>
    <col min="9991" max="9991" width="8" style="104" hidden="1"/>
    <col min="9992" max="9997" width="12.26953125" style="104" hidden="1"/>
    <col min="9998" max="9998" width="11.26953125" style="104" hidden="1"/>
    <col min="9999" max="10240" width="12.26953125" style="104" hidden="1"/>
    <col min="10241" max="10241" width="53.81640625" style="104" hidden="1"/>
    <col min="10242" max="10243" width="7.7265625" style="104" hidden="1"/>
    <col min="10244" max="10244" width="8.26953125" style="104" hidden="1"/>
    <col min="10245" max="10245" width="8.453125" style="104" hidden="1"/>
    <col min="10246" max="10246" width="9" style="104" hidden="1"/>
    <col min="10247" max="10247" width="8" style="104" hidden="1"/>
    <col min="10248" max="10253" width="12.26953125" style="104" hidden="1"/>
    <col min="10254" max="10254" width="11.26953125" style="104" hidden="1"/>
    <col min="10255" max="10496" width="12.26953125" style="104" hidden="1"/>
    <col min="10497" max="10497" width="53.81640625" style="104" hidden="1"/>
    <col min="10498" max="10499" width="7.7265625" style="104" hidden="1"/>
    <col min="10500" max="10500" width="8.26953125" style="104" hidden="1"/>
    <col min="10501" max="10501" width="8.453125" style="104" hidden="1"/>
    <col min="10502" max="10502" width="9" style="104" hidden="1"/>
    <col min="10503" max="10503" width="8" style="104" hidden="1"/>
    <col min="10504" max="10509" width="12.26953125" style="104" hidden="1"/>
    <col min="10510" max="10510" width="11.26953125" style="104" hidden="1"/>
    <col min="10511" max="10752" width="12.26953125" style="104" hidden="1"/>
    <col min="10753" max="10753" width="53.81640625" style="104" hidden="1"/>
    <col min="10754" max="10755" width="7.7265625" style="104" hidden="1"/>
    <col min="10756" max="10756" width="8.26953125" style="104" hidden="1"/>
    <col min="10757" max="10757" width="8.453125" style="104" hidden="1"/>
    <col min="10758" max="10758" width="9" style="104" hidden="1"/>
    <col min="10759" max="10759" width="8" style="104" hidden="1"/>
    <col min="10760" max="10765" width="12.26953125" style="104" hidden="1"/>
    <col min="10766" max="10766" width="11.26953125" style="104" hidden="1"/>
    <col min="10767" max="11008" width="12.26953125" style="104" hidden="1"/>
    <col min="11009" max="11009" width="53.81640625" style="104" hidden="1"/>
    <col min="11010" max="11011" width="7.7265625" style="104" hidden="1"/>
    <col min="11012" max="11012" width="8.26953125" style="104" hidden="1"/>
    <col min="11013" max="11013" width="8.453125" style="104" hidden="1"/>
    <col min="11014" max="11014" width="9" style="104" hidden="1"/>
    <col min="11015" max="11015" width="8" style="104" hidden="1"/>
    <col min="11016" max="11021" width="12.26953125" style="104" hidden="1"/>
    <col min="11022" max="11022" width="11.26953125" style="104" hidden="1"/>
    <col min="11023" max="11264" width="12.26953125" style="104" hidden="1"/>
    <col min="11265" max="11265" width="53.81640625" style="104" hidden="1"/>
    <col min="11266" max="11267" width="7.7265625" style="104" hidden="1"/>
    <col min="11268" max="11268" width="8.26953125" style="104" hidden="1"/>
    <col min="11269" max="11269" width="8.453125" style="104" hidden="1"/>
    <col min="11270" max="11270" width="9" style="104" hidden="1"/>
    <col min="11271" max="11271" width="8" style="104" hidden="1"/>
    <col min="11272" max="11277" width="12.26953125" style="104" hidden="1"/>
    <col min="11278" max="11278" width="11.26953125" style="104" hidden="1"/>
    <col min="11279" max="11520" width="12.26953125" style="104" hidden="1"/>
    <col min="11521" max="11521" width="53.81640625" style="104" hidden="1"/>
    <col min="11522" max="11523" width="7.7265625" style="104" hidden="1"/>
    <col min="11524" max="11524" width="8.26953125" style="104" hidden="1"/>
    <col min="11525" max="11525" width="8.453125" style="104" hidden="1"/>
    <col min="11526" max="11526" width="9" style="104" hidden="1"/>
    <col min="11527" max="11527" width="8" style="104" hidden="1"/>
    <col min="11528" max="11533" width="12.26953125" style="104" hidden="1"/>
    <col min="11534" max="11534" width="11.26953125" style="104" hidden="1"/>
    <col min="11535" max="11776" width="12.26953125" style="104" hidden="1"/>
    <col min="11777" max="11777" width="53.81640625" style="104" hidden="1"/>
    <col min="11778" max="11779" width="7.7265625" style="104" hidden="1"/>
    <col min="11780" max="11780" width="8.26953125" style="104" hidden="1"/>
    <col min="11781" max="11781" width="8.453125" style="104" hidden="1"/>
    <col min="11782" max="11782" width="9" style="104" hidden="1"/>
    <col min="11783" max="11783" width="8" style="104" hidden="1"/>
    <col min="11784" max="11789" width="12.26953125" style="104" hidden="1"/>
    <col min="11790" max="11790" width="11.26953125" style="104" hidden="1"/>
    <col min="11791" max="12032" width="12.26953125" style="104" hidden="1"/>
    <col min="12033" max="12033" width="53.81640625" style="104" hidden="1"/>
    <col min="12034" max="12035" width="7.7265625" style="104" hidden="1"/>
    <col min="12036" max="12036" width="8.26953125" style="104" hidden="1"/>
    <col min="12037" max="12037" width="8.453125" style="104" hidden="1"/>
    <col min="12038" max="12038" width="9" style="104" hidden="1"/>
    <col min="12039" max="12039" width="8" style="104" hidden="1"/>
    <col min="12040" max="12045" width="12.26953125" style="104" hidden="1"/>
    <col min="12046" max="12046" width="11.26953125" style="104" hidden="1"/>
    <col min="12047" max="12288" width="12.26953125" style="104" hidden="1"/>
    <col min="12289" max="12289" width="53.81640625" style="104" hidden="1"/>
    <col min="12290" max="12291" width="7.7265625" style="104" hidden="1"/>
    <col min="12292" max="12292" width="8.26953125" style="104" hidden="1"/>
    <col min="12293" max="12293" width="8.453125" style="104" hidden="1"/>
    <col min="12294" max="12294" width="9" style="104" hidden="1"/>
    <col min="12295" max="12295" width="8" style="104" hidden="1"/>
    <col min="12296" max="12301" width="12.26953125" style="104" hidden="1"/>
    <col min="12302" max="12302" width="11.26953125" style="104" hidden="1"/>
    <col min="12303" max="12544" width="12.26953125" style="104" hidden="1"/>
    <col min="12545" max="12545" width="53.81640625" style="104" hidden="1"/>
    <col min="12546" max="12547" width="7.7265625" style="104" hidden="1"/>
    <col min="12548" max="12548" width="8.26953125" style="104" hidden="1"/>
    <col min="12549" max="12549" width="8.453125" style="104" hidden="1"/>
    <col min="12550" max="12550" width="9" style="104" hidden="1"/>
    <col min="12551" max="12551" width="8" style="104" hidden="1"/>
    <col min="12552" max="12557" width="12.26953125" style="104" hidden="1"/>
    <col min="12558" max="12558" width="11.26953125" style="104" hidden="1"/>
    <col min="12559" max="12800" width="12.26953125" style="104" hidden="1"/>
    <col min="12801" max="12801" width="53.81640625" style="104" hidden="1"/>
    <col min="12802" max="12803" width="7.7265625" style="104" hidden="1"/>
    <col min="12804" max="12804" width="8.26953125" style="104" hidden="1"/>
    <col min="12805" max="12805" width="8.453125" style="104" hidden="1"/>
    <col min="12806" max="12806" width="9" style="104" hidden="1"/>
    <col min="12807" max="12807" width="8" style="104" hidden="1"/>
    <col min="12808" max="12813" width="12.26953125" style="104" hidden="1"/>
    <col min="12814" max="12814" width="11.26953125" style="104" hidden="1"/>
    <col min="12815" max="13056" width="12.26953125" style="104" hidden="1"/>
    <col min="13057" max="13057" width="53.81640625" style="104" hidden="1"/>
    <col min="13058" max="13059" width="7.7265625" style="104" hidden="1"/>
    <col min="13060" max="13060" width="8.26953125" style="104" hidden="1"/>
    <col min="13061" max="13061" width="8.453125" style="104" hidden="1"/>
    <col min="13062" max="13062" width="9" style="104" hidden="1"/>
    <col min="13063" max="13063" width="8" style="104" hidden="1"/>
    <col min="13064" max="13069" width="12.26953125" style="104" hidden="1"/>
    <col min="13070" max="13070" width="11.26953125" style="104" hidden="1"/>
    <col min="13071" max="13312" width="12.26953125" style="104" hidden="1"/>
    <col min="13313" max="13313" width="53.81640625" style="104" hidden="1"/>
    <col min="13314" max="13315" width="7.7265625" style="104" hidden="1"/>
    <col min="13316" max="13316" width="8.26953125" style="104" hidden="1"/>
    <col min="13317" max="13317" width="8.453125" style="104" hidden="1"/>
    <col min="13318" max="13318" width="9" style="104" hidden="1"/>
    <col min="13319" max="13319" width="8" style="104" hidden="1"/>
    <col min="13320" max="13325" width="12.26953125" style="104" hidden="1"/>
    <col min="13326" max="13326" width="11.26953125" style="104" hidden="1"/>
    <col min="13327" max="13568" width="12.26953125" style="104" hidden="1"/>
    <col min="13569" max="13569" width="53.81640625" style="104" hidden="1"/>
    <col min="13570" max="13571" width="7.7265625" style="104" hidden="1"/>
    <col min="13572" max="13572" width="8.26953125" style="104" hidden="1"/>
    <col min="13573" max="13573" width="8.453125" style="104" hidden="1"/>
    <col min="13574" max="13574" width="9" style="104" hidden="1"/>
    <col min="13575" max="13575" width="8" style="104" hidden="1"/>
    <col min="13576" max="13581" width="12.26953125" style="104" hidden="1"/>
    <col min="13582" max="13582" width="11.26953125" style="104" hidden="1"/>
    <col min="13583" max="13824" width="12.26953125" style="104" hidden="1"/>
    <col min="13825" max="13825" width="53.81640625" style="104" hidden="1"/>
    <col min="13826" max="13827" width="7.7265625" style="104" hidden="1"/>
    <col min="13828" max="13828" width="8.26953125" style="104" hidden="1"/>
    <col min="13829" max="13829" width="8.453125" style="104" hidden="1"/>
    <col min="13830" max="13830" width="9" style="104" hidden="1"/>
    <col min="13831" max="13831" width="8" style="104" hidden="1"/>
    <col min="13832" max="13837" width="12.26953125" style="104" hidden="1"/>
    <col min="13838" max="13838" width="11.26953125" style="104" hidden="1"/>
    <col min="13839" max="14080" width="12.26953125" style="104" hidden="1"/>
    <col min="14081" max="14081" width="53.81640625" style="104" hidden="1"/>
    <col min="14082" max="14083" width="7.7265625" style="104" hidden="1"/>
    <col min="14084" max="14084" width="8.26953125" style="104" hidden="1"/>
    <col min="14085" max="14085" width="8.453125" style="104" hidden="1"/>
    <col min="14086" max="14086" width="9" style="104" hidden="1"/>
    <col min="14087" max="14087" width="8" style="104" hidden="1"/>
    <col min="14088" max="14093" width="12.26953125" style="104" hidden="1"/>
    <col min="14094" max="14094" width="11.26953125" style="104" hidden="1"/>
    <col min="14095" max="14336" width="12.26953125" style="104" hidden="1"/>
    <col min="14337" max="14337" width="53.81640625" style="104" hidden="1"/>
    <col min="14338" max="14339" width="7.7265625" style="104" hidden="1"/>
    <col min="14340" max="14340" width="8.26953125" style="104" hidden="1"/>
    <col min="14341" max="14341" width="8.453125" style="104" hidden="1"/>
    <col min="14342" max="14342" width="9" style="104" hidden="1"/>
    <col min="14343" max="14343" width="8" style="104" hidden="1"/>
    <col min="14344" max="14349" width="12.26953125" style="104" hidden="1"/>
    <col min="14350" max="14350" width="11.26953125" style="104" hidden="1"/>
    <col min="14351" max="14592" width="12.26953125" style="104" hidden="1"/>
    <col min="14593" max="14593" width="53.81640625" style="104" hidden="1"/>
    <col min="14594" max="14595" width="7.7265625" style="104" hidden="1"/>
    <col min="14596" max="14596" width="8.26953125" style="104" hidden="1"/>
    <col min="14597" max="14597" width="8.453125" style="104" hidden="1"/>
    <col min="14598" max="14598" width="9" style="104" hidden="1"/>
    <col min="14599" max="14599" width="8" style="104" hidden="1"/>
    <col min="14600" max="14605" width="12.26953125" style="104" hidden="1"/>
    <col min="14606" max="14606" width="11.26953125" style="104" hidden="1"/>
    <col min="14607" max="14848" width="12.26953125" style="104" hidden="1"/>
    <col min="14849" max="14849" width="53.81640625" style="104" hidden="1"/>
    <col min="14850" max="14851" width="7.7265625" style="104" hidden="1"/>
    <col min="14852" max="14852" width="8.26953125" style="104" hidden="1"/>
    <col min="14853" max="14853" width="8.453125" style="104" hidden="1"/>
    <col min="14854" max="14854" width="9" style="104" hidden="1"/>
    <col min="14855" max="14855" width="8" style="104" hidden="1"/>
    <col min="14856" max="14861" width="12.26953125" style="104" hidden="1"/>
    <col min="14862" max="14862" width="11.26953125" style="104" hidden="1"/>
    <col min="14863" max="15104" width="12.26953125" style="104" hidden="1"/>
    <col min="15105" max="15105" width="53.81640625" style="104" hidden="1"/>
    <col min="15106" max="15107" width="7.7265625" style="104" hidden="1"/>
    <col min="15108" max="15108" width="8.26953125" style="104" hidden="1"/>
    <col min="15109" max="15109" width="8.453125" style="104" hidden="1"/>
    <col min="15110" max="15110" width="9" style="104" hidden="1"/>
    <col min="15111" max="15111" width="8" style="104" hidden="1"/>
    <col min="15112" max="15117" width="12.26953125" style="104" hidden="1"/>
    <col min="15118" max="15118" width="11.26953125" style="104" hidden="1"/>
    <col min="15119" max="15360" width="12.26953125" style="104" hidden="1"/>
    <col min="15361" max="15361" width="53.81640625" style="104" hidden="1"/>
    <col min="15362" max="15363" width="7.7265625" style="104" hidden="1"/>
    <col min="15364" max="15364" width="8.26953125" style="104" hidden="1"/>
    <col min="15365" max="15365" width="8.453125" style="104" hidden="1"/>
    <col min="15366" max="15366" width="9" style="104" hidden="1"/>
    <col min="15367" max="15367" width="8" style="104" hidden="1"/>
    <col min="15368" max="15373" width="12.26953125" style="104" hidden="1"/>
    <col min="15374" max="15374" width="11.26953125" style="104" hidden="1"/>
    <col min="15375" max="15616" width="12.26953125" style="104" hidden="1"/>
    <col min="15617" max="15617" width="53.81640625" style="104" hidden="1"/>
    <col min="15618" max="15619" width="7.7265625" style="104" hidden="1"/>
    <col min="15620" max="15620" width="8.26953125" style="104" hidden="1"/>
    <col min="15621" max="15621" width="8.453125" style="104" hidden="1"/>
    <col min="15622" max="15622" width="9" style="104" hidden="1"/>
    <col min="15623" max="15623" width="8" style="104" hidden="1"/>
    <col min="15624" max="15629" width="12.26953125" style="104" hidden="1"/>
    <col min="15630" max="15630" width="11.26953125" style="104" hidden="1"/>
    <col min="15631" max="15872" width="12.26953125" style="104" hidden="1"/>
    <col min="15873" max="15873" width="53.81640625" style="104" hidden="1"/>
    <col min="15874" max="15875" width="7.7265625" style="104" hidden="1"/>
    <col min="15876" max="15876" width="8.26953125" style="104" hidden="1"/>
    <col min="15877" max="15877" width="8.453125" style="104" hidden="1"/>
    <col min="15878" max="15878" width="9" style="104" hidden="1"/>
    <col min="15879" max="15879" width="8" style="104" hidden="1"/>
    <col min="15880" max="15885" width="12.26953125" style="104" hidden="1"/>
    <col min="15886" max="15886" width="11.26953125" style="104" hidden="1"/>
    <col min="15887" max="16128" width="12.26953125" style="104" hidden="1"/>
    <col min="16129" max="16129" width="53.81640625" style="104" hidden="1"/>
    <col min="16130" max="16131" width="7.7265625" style="104" hidden="1"/>
    <col min="16132" max="16132" width="8.26953125" style="104" hidden="1"/>
    <col min="16133" max="16133" width="8.453125" style="104" hidden="1"/>
    <col min="16134" max="16134" width="9" style="104" hidden="1"/>
    <col min="16135" max="16135" width="8" style="104" hidden="1"/>
    <col min="16136" max="16141" width="12.26953125" style="104" hidden="1"/>
    <col min="16142" max="16142" width="11.26953125" style="104" hidden="1"/>
    <col min="16143" max="16384" width="12.26953125" style="104" hidden="1"/>
  </cols>
  <sheetData>
    <row r="1" spans="1:246" ht="1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190</v>
      </c>
    </row>
    <row r="2" spans="1:246" ht="1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>
      <c r="A4" s="241" t="s">
        <v>142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246" ht="18.75" customHeight="1">
      <c r="A5" s="242" t="s">
        <v>143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246" ht="8.15" customHeight="1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>
      <c r="A7" s="241" t="s">
        <v>144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246" ht="18">
      <c r="A8" s="241" t="s">
        <v>145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>
      <c r="A10" s="243" t="s">
        <v>146</v>
      </c>
      <c r="B10" s="239" t="s">
        <v>159</v>
      </c>
      <c r="C10" s="239" t="s">
        <v>160</v>
      </c>
      <c r="D10" s="239" t="s">
        <v>161</v>
      </c>
      <c r="E10" s="239" t="s">
        <v>162</v>
      </c>
      <c r="F10" s="239" t="s">
        <v>163</v>
      </c>
      <c r="G10" s="239" t="s">
        <v>164</v>
      </c>
      <c r="H10" s="239" t="s">
        <v>165</v>
      </c>
      <c r="I10" s="239" t="s">
        <v>166</v>
      </c>
      <c r="J10" s="239" t="s">
        <v>217</v>
      </c>
      <c r="K10" s="239" t="s">
        <v>167</v>
      </c>
      <c r="L10" s="239" t="s">
        <v>168</v>
      </c>
      <c r="M10" s="239" t="s">
        <v>169</v>
      </c>
      <c r="N10" s="239" t="s">
        <v>218</v>
      </c>
    </row>
    <row r="11" spans="1:246" s="3" customFormat="1" ht="23.25" customHeight="1" thickBot="1">
      <c r="A11" s="244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</row>
    <row r="12" spans="1:246" s="10" customFormat="1" ht="13">
      <c r="A12" s="8" t="s">
        <v>1</v>
      </c>
      <c r="B12" s="116">
        <f>IF($A12="","",'Situfin serie mensual'!JR2)</f>
        <v>4101.4709384080006</v>
      </c>
      <c r="C12" s="116">
        <f>IF($A12="","",'Situfin serie mensual'!JS2)</f>
        <v>3466.8068827940001</v>
      </c>
      <c r="D12" s="116">
        <f>IF($A12="","",'Situfin serie mensual'!JT2)</f>
        <v>0</v>
      </c>
      <c r="E12" s="116">
        <f>IF($A12="","",'Situfin serie mensual'!JU2)</f>
        <v>0</v>
      </c>
      <c r="F12" s="116">
        <f>IF($A12="","",'Situfin serie mensual'!JV2)</f>
        <v>0</v>
      </c>
      <c r="G12" s="116">
        <f>IF($A12="","",'Situfin serie mensual'!JW2)</f>
        <v>0</v>
      </c>
      <c r="H12" s="116">
        <f>IF($A12="","",'Situfin serie mensual'!JX2)</f>
        <v>0</v>
      </c>
      <c r="I12" s="116">
        <f>IF($A12="","",'Situfin serie mensual'!JY2)</f>
        <v>0</v>
      </c>
      <c r="J12" s="116">
        <f>IF($A12="","",'Situfin serie mensual'!JZ2)</f>
        <v>0</v>
      </c>
      <c r="K12" s="116">
        <f>IF($A12="","",'Situfin serie mensual'!KA2)</f>
        <v>0</v>
      </c>
      <c r="L12" s="116">
        <f>IF($A12="","",'Situfin serie mensual'!KB2)</f>
        <v>0</v>
      </c>
      <c r="M12" s="116">
        <f>IF($A12="","",'Situfin serie mensual'!KC2)</f>
        <v>0</v>
      </c>
      <c r="N12" s="116">
        <f>+SUM(B12:M12)</f>
        <v>7568.2778212020003</v>
      </c>
    </row>
    <row r="13" spans="1:246" s="10" customFormat="1" ht="13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3" outlineLevel="1">
      <c r="A14" s="10" t="s">
        <v>94</v>
      </c>
      <c r="B14" s="116">
        <f>IF($A14="","",'Situfin serie mensual'!JR4)</f>
        <v>3178.4616770540006</v>
      </c>
      <c r="C14" s="116">
        <f>IF($A14="","",'Situfin serie mensual'!JS4)</f>
        <v>2634.1302261870005</v>
      </c>
      <c r="D14" s="116">
        <f>IF($A14="","",'Situfin serie mensual'!JT4)</f>
        <v>0</v>
      </c>
      <c r="E14" s="116">
        <f>IF($A14="","",'Situfin serie mensual'!JU4)</f>
        <v>0</v>
      </c>
      <c r="F14" s="116">
        <f>IF($A14="","",'Situfin serie mensual'!JV4)</f>
        <v>0</v>
      </c>
      <c r="G14" s="116">
        <f>IF($A14="","",'Situfin serie mensual'!JW4)</f>
        <v>0</v>
      </c>
      <c r="H14" s="116">
        <f>IF($A14="","",'Situfin serie mensual'!JX4)</f>
        <v>0</v>
      </c>
      <c r="I14" s="116">
        <f>IF($A14="","",'Situfin serie mensual'!JY4)</f>
        <v>0</v>
      </c>
      <c r="J14" s="116">
        <f>IF($A14="","",'Situfin serie mensual'!JZ4)</f>
        <v>0</v>
      </c>
      <c r="K14" s="116">
        <f>IF($A14="","",'Situfin serie mensual'!KA4)</f>
        <v>0</v>
      </c>
      <c r="L14" s="116">
        <f>IF($A14="","",'Situfin serie mensual'!KB4)</f>
        <v>0</v>
      </c>
      <c r="M14" s="116">
        <f>IF($A14="","",'Situfin serie mensual'!KC4)</f>
        <v>0</v>
      </c>
      <c r="N14" s="116">
        <f>+SUM(B14:M14)</f>
        <v>5812.5919032410011</v>
      </c>
      <c r="O14" s="146"/>
      <c r="P14" s="146"/>
      <c r="Q14" s="117"/>
    </row>
    <row r="15" spans="1:246" s="119" customFormat="1" ht="13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3" outlineLevel="2">
      <c r="A16" s="10" t="s">
        <v>10</v>
      </c>
      <c r="B16" s="116">
        <f>IF($A16="","",'Situfin serie mensual'!JR13)</f>
        <v>300.65501816900002</v>
      </c>
      <c r="C16" s="116">
        <f>IF($A16="","",'Situfin serie mensual'!JS13)</f>
        <v>277.72398811900001</v>
      </c>
      <c r="D16" s="116">
        <f>IF($A16="","",'Situfin serie mensual'!JT13)</f>
        <v>0</v>
      </c>
      <c r="E16" s="116">
        <f>IF($A16="","",'Situfin serie mensual'!JU13)</f>
        <v>0</v>
      </c>
      <c r="F16" s="116">
        <f>IF($A16="","",'Situfin serie mensual'!JV13)</f>
        <v>0</v>
      </c>
      <c r="G16" s="116">
        <f>IF($A16="","",'Situfin serie mensual'!JW13)</f>
        <v>0</v>
      </c>
      <c r="H16" s="116">
        <f>IF($A16="","",'Situfin serie mensual'!JX13)</f>
        <v>0</v>
      </c>
      <c r="I16" s="116">
        <f>IF($A16="","",'Situfin serie mensual'!JY13)</f>
        <v>0</v>
      </c>
      <c r="J16" s="116">
        <f>IF($A16="","",'Situfin serie mensual'!JZ13)</f>
        <v>0</v>
      </c>
      <c r="K16" s="116">
        <f>IF($A16="","",'Situfin serie mensual'!KA13)</f>
        <v>0</v>
      </c>
      <c r="L16" s="116">
        <f>IF($A16="","",'Situfin serie mensual'!KB13)</f>
        <v>0</v>
      </c>
      <c r="M16" s="116">
        <f>IF($A16="","",'Situfin serie mensual'!KC13)</f>
        <v>0</v>
      </c>
      <c r="N16" s="116">
        <f>+SUM(B16:M16)</f>
        <v>578.37900628800003</v>
      </c>
      <c r="P16" s="10"/>
    </row>
    <row r="17" spans="1:16" s="119" customFormat="1" ht="13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3" outlineLevel="2">
      <c r="A18" s="10" t="s">
        <v>11</v>
      </c>
      <c r="B18" s="116">
        <f>IF($A18="","",'Situfin serie mensual'!JR15)</f>
        <v>169.22834761500002</v>
      </c>
      <c r="C18" s="116">
        <f>IF($A18="","",'Situfin serie mensual'!JS15)</f>
        <v>72.962042918999998</v>
      </c>
      <c r="D18" s="116">
        <f>IF($A18="","",'Situfin serie mensual'!JT15)</f>
        <v>0</v>
      </c>
      <c r="E18" s="116">
        <f>IF($A18="","",'Situfin serie mensual'!JU15)</f>
        <v>0</v>
      </c>
      <c r="F18" s="116">
        <f>IF($A18="","",'Situfin serie mensual'!JV15)</f>
        <v>0</v>
      </c>
      <c r="G18" s="116">
        <f>IF($A18="","",'Situfin serie mensual'!JW15)</f>
        <v>0</v>
      </c>
      <c r="H18" s="116">
        <f>IF($A18="","",'Situfin serie mensual'!JX15)</f>
        <v>0</v>
      </c>
      <c r="I18" s="116">
        <f>IF($A18="","",'Situfin serie mensual'!JY15)</f>
        <v>0</v>
      </c>
      <c r="J18" s="116">
        <f>IF($A18="","",'Situfin serie mensual'!JZ15)</f>
        <v>0</v>
      </c>
      <c r="K18" s="116">
        <f>IF($A18="","",'Situfin serie mensual'!KA15)</f>
        <v>0</v>
      </c>
      <c r="L18" s="116">
        <f>IF($A18="","",'Situfin serie mensual'!KB15)</f>
        <v>0</v>
      </c>
      <c r="M18" s="116">
        <f>IF($A18="","",'Situfin serie mensual'!KC15)</f>
        <v>0</v>
      </c>
      <c r="N18" s="116">
        <f t="shared" ref="N18:N35" si="0">+SUM(B18:M18)</f>
        <v>242.19039053400002</v>
      </c>
      <c r="P18" s="10"/>
    </row>
    <row r="19" spans="1:16" s="119" customFormat="1" ht="13">
      <c r="A19" s="13" t="s">
        <v>150</v>
      </c>
      <c r="B19" s="118">
        <f>IF($A19="","",'Situfin serie mensual'!JR16)</f>
        <v>92.3996025</v>
      </c>
      <c r="C19" s="118">
        <f>IF($A19="","",'Situfin serie mensual'!JS16)</f>
        <v>0</v>
      </c>
      <c r="D19" s="118">
        <f>IF($A19="","",'Situfin serie mensual'!JT16)</f>
        <v>0</v>
      </c>
      <c r="E19" s="118">
        <f>IF($A19="","",'Situfin serie mensual'!JU16)</f>
        <v>0</v>
      </c>
      <c r="F19" s="118">
        <f>IF($A19="","",'Situfin serie mensual'!JV16)</f>
        <v>0</v>
      </c>
      <c r="G19" s="118">
        <f>IF($A19="","",'Situfin serie mensual'!JW16)</f>
        <v>0</v>
      </c>
      <c r="H19" s="118">
        <f>IF($A19="","",'Situfin serie mensual'!JX16)</f>
        <v>0</v>
      </c>
      <c r="I19" s="118">
        <f>IF($A19="","",'Situfin serie mensual'!JY16)</f>
        <v>0</v>
      </c>
      <c r="J19" s="118">
        <f>IF($A19="","",'Situfin serie mensual'!JZ16)</f>
        <v>0</v>
      </c>
      <c r="K19" s="118">
        <f>IF($A19="","",'Situfin serie mensual'!KA16)</f>
        <v>0</v>
      </c>
      <c r="L19" s="118">
        <f>IF($A19="","",'Situfin serie mensual'!KB16)</f>
        <v>0</v>
      </c>
      <c r="M19" s="118">
        <f>IF($A19="","",'Situfin serie mensual'!KC16)</f>
        <v>0</v>
      </c>
      <c r="N19" s="118">
        <f t="shared" si="0"/>
        <v>92.3996025</v>
      </c>
      <c r="P19" s="10"/>
    </row>
    <row r="20" spans="1:16" s="119" customFormat="1" ht="13">
      <c r="A20" s="171" t="s">
        <v>184</v>
      </c>
      <c r="B20" s="118">
        <f>IF($A20="","",'Situfin serie mensual'!JR17)</f>
        <v>0</v>
      </c>
      <c r="C20" s="118">
        <f>IF($A20="","",'Situfin serie mensual'!JS17)</f>
        <v>0</v>
      </c>
      <c r="D20" s="118">
        <f>IF($A20="","",'Situfin serie mensual'!JT17)</f>
        <v>0</v>
      </c>
      <c r="E20" s="118">
        <f>IF($A20="","",'Situfin serie mensual'!JU17)</f>
        <v>0</v>
      </c>
      <c r="F20" s="118">
        <f>IF($A20="","",'Situfin serie mensual'!JV17)</f>
        <v>0</v>
      </c>
      <c r="G20" s="118">
        <f>IF($A20="","",'Situfin serie mensual'!JW17)</f>
        <v>0</v>
      </c>
      <c r="H20" s="118">
        <f>IF($A20="","",'Situfin serie mensual'!JX17)</f>
        <v>0</v>
      </c>
      <c r="I20" s="118">
        <f>IF($A20="","",'Situfin serie mensual'!JY17)</f>
        <v>0</v>
      </c>
      <c r="J20" s="118">
        <f>IF($A20="","",'Situfin serie mensual'!JZ17)</f>
        <v>0</v>
      </c>
      <c r="K20" s="118">
        <f>IF($A20="","",'Situfin serie mensual'!KA17)</f>
        <v>0</v>
      </c>
      <c r="L20" s="118">
        <f>IF($A20="","",'Situfin serie mensual'!KB17)</f>
        <v>0</v>
      </c>
      <c r="M20" s="118">
        <f>IF($A20="","",'Situfin serie mensual'!KC17)</f>
        <v>0</v>
      </c>
      <c r="N20" s="118">
        <f t="shared" si="0"/>
        <v>0</v>
      </c>
      <c r="P20" s="10"/>
    </row>
    <row r="21" spans="1:16" s="119" customFormat="1" ht="13">
      <c r="A21" s="171" t="s">
        <v>185</v>
      </c>
      <c r="B21" s="118">
        <f>IF($A21="","",'Situfin serie mensual'!JR18)</f>
        <v>92.3996025</v>
      </c>
      <c r="C21" s="118">
        <f>IF($A21="","",'Situfin serie mensual'!JS18)</f>
        <v>0</v>
      </c>
      <c r="D21" s="118">
        <f>IF($A21="","",'Situfin serie mensual'!JT18)</f>
        <v>0</v>
      </c>
      <c r="E21" s="118">
        <f>IF($A21="","",'Situfin serie mensual'!JU18)</f>
        <v>0</v>
      </c>
      <c r="F21" s="118">
        <f>IF($A21="","",'Situfin serie mensual'!JV18)</f>
        <v>0</v>
      </c>
      <c r="G21" s="118">
        <f>IF($A21="","",'Situfin serie mensual'!JW18)</f>
        <v>0</v>
      </c>
      <c r="H21" s="118">
        <f>IF($A21="","",'Situfin serie mensual'!JX18)</f>
        <v>0</v>
      </c>
      <c r="I21" s="118">
        <f>IF($A21="","",'Situfin serie mensual'!JY18)</f>
        <v>0</v>
      </c>
      <c r="J21" s="118">
        <f>IF($A21="","",'Situfin serie mensual'!JZ18)</f>
        <v>0</v>
      </c>
      <c r="K21" s="118">
        <f>IF($A21="","",'Situfin serie mensual'!KA18)</f>
        <v>0</v>
      </c>
      <c r="L21" s="118">
        <f>IF($A21="","",'Situfin serie mensual'!KB18)</f>
        <v>0</v>
      </c>
      <c r="M21" s="118">
        <f>IF($A21="","",'Situfin serie mensual'!KC18)</f>
        <v>0</v>
      </c>
      <c r="N21" s="118">
        <f t="shared" si="0"/>
        <v>92.3996025</v>
      </c>
      <c r="P21" s="10"/>
    </row>
    <row r="22" spans="1:16" s="119" customFormat="1" ht="13">
      <c r="A22" s="13" t="s">
        <v>151</v>
      </c>
      <c r="B22" s="118">
        <f>IF($A22="","",'Situfin serie mensual'!JR19)</f>
        <v>0</v>
      </c>
      <c r="C22" s="118">
        <f>IF($A22="","",'Situfin serie mensual'!JS19)</f>
        <v>0</v>
      </c>
      <c r="D22" s="118">
        <f>IF($A22="","",'Situfin serie mensual'!JT19)</f>
        <v>0</v>
      </c>
      <c r="E22" s="118">
        <f>IF($A22="","",'Situfin serie mensual'!JU19)</f>
        <v>0</v>
      </c>
      <c r="F22" s="118">
        <f>IF($A22="","",'Situfin serie mensual'!JV19)</f>
        <v>0</v>
      </c>
      <c r="G22" s="118">
        <f>IF($A22="","",'Situfin serie mensual'!JW19)</f>
        <v>0</v>
      </c>
      <c r="H22" s="118">
        <f>IF($A22="","",'Situfin serie mensual'!JX19)</f>
        <v>0</v>
      </c>
      <c r="I22" s="118">
        <f>IF($A22="","",'Situfin serie mensual'!JY19)</f>
        <v>0</v>
      </c>
      <c r="J22" s="118">
        <f>IF($A22="","",'Situfin serie mensual'!JZ19)</f>
        <v>0</v>
      </c>
      <c r="K22" s="118">
        <f>IF($A22="","",'Situfin serie mensual'!KA19)</f>
        <v>0</v>
      </c>
      <c r="L22" s="118">
        <f>IF($A22="","",'Situfin serie mensual'!KB19)</f>
        <v>0</v>
      </c>
      <c r="M22" s="118">
        <f>IF($A22="","",'Situfin serie mensual'!KC19)</f>
        <v>0</v>
      </c>
      <c r="N22" s="118">
        <f t="shared" si="0"/>
        <v>0</v>
      </c>
      <c r="P22" s="10"/>
    </row>
    <row r="23" spans="1:16" s="119" customFormat="1" ht="13">
      <c r="A23" s="171" t="s">
        <v>184</v>
      </c>
      <c r="B23" s="118">
        <f>IF($A23="","",'Situfin serie mensual'!JR20)</f>
        <v>0</v>
      </c>
      <c r="C23" s="118">
        <f>IF($A23="","",'Situfin serie mensual'!JS20)</f>
        <v>0</v>
      </c>
      <c r="D23" s="118">
        <f>IF($A23="","",'Situfin serie mensual'!JT20)</f>
        <v>0</v>
      </c>
      <c r="E23" s="118">
        <f>IF($A23="","",'Situfin serie mensual'!JU20)</f>
        <v>0</v>
      </c>
      <c r="F23" s="118">
        <f>IF($A23="","",'Situfin serie mensual'!JV20)</f>
        <v>0</v>
      </c>
      <c r="G23" s="118">
        <f>IF($A23="","",'Situfin serie mensual'!JW20)</f>
        <v>0</v>
      </c>
      <c r="H23" s="118">
        <f>IF($A23="","",'Situfin serie mensual'!JX20)</f>
        <v>0</v>
      </c>
      <c r="I23" s="118">
        <f>IF($A23="","",'Situfin serie mensual'!JY20)</f>
        <v>0</v>
      </c>
      <c r="J23" s="118">
        <f>IF($A23="","",'Situfin serie mensual'!JZ20)</f>
        <v>0</v>
      </c>
      <c r="K23" s="118">
        <f>IF($A23="","",'Situfin serie mensual'!KA20)</f>
        <v>0</v>
      </c>
      <c r="L23" s="118">
        <f>IF($A23="","",'Situfin serie mensual'!KB20)</f>
        <v>0</v>
      </c>
      <c r="M23" s="118">
        <f>IF($A23="","",'Situfin serie mensual'!KC20)</f>
        <v>0</v>
      </c>
      <c r="N23" s="118">
        <f t="shared" si="0"/>
        <v>0</v>
      </c>
      <c r="P23" s="10"/>
    </row>
    <row r="24" spans="1:16" s="119" customFormat="1" ht="13">
      <c r="A24" s="171" t="s">
        <v>185</v>
      </c>
      <c r="B24" s="118">
        <f>IF($A24="","",'Situfin serie mensual'!JR21)</f>
        <v>0</v>
      </c>
      <c r="C24" s="118">
        <f>IF($A24="","",'Situfin serie mensual'!JS21)</f>
        <v>0</v>
      </c>
      <c r="D24" s="118">
        <f>IF($A24="","",'Situfin serie mensual'!JT21)</f>
        <v>0</v>
      </c>
      <c r="E24" s="118">
        <f>IF($A24="","",'Situfin serie mensual'!JU21)</f>
        <v>0</v>
      </c>
      <c r="F24" s="118">
        <f>IF($A24="","",'Situfin serie mensual'!JV21)</f>
        <v>0</v>
      </c>
      <c r="G24" s="118">
        <f>IF($A24="","",'Situfin serie mensual'!JW21)</f>
        <v>0</v>
      </c>
      <c r="H24" s="118">
        <f>IF($A24="","",'Situfin serie mensual'!JX21)</f>
        <v>0</v>
      </c>
      <c r="I24" s="118">
        <f>IF($A24="","",'Situfin serie mensual'!JY21)</f>
        <v>0</v>
      </c>
      <c r="J24" s="118">
        <f>IF($A24="","",'Situfin serie mensual'!JZ21)</f>
        <v>0</v>
      </c>
      <c r="K24" s="118">
        <f>IF($A24="","",'Situfin serie mensual'!KA21)</f>
        <v>0</v>
      </c>
      <c r="L24" s="118">
        <f>IF($A24="","",'Situfin serie mensual'!KB21)</f>
        <v>0</v>
      </c>
      <c r="M24" s="118">
        <f>IF($A24="","",'Situfin serie mensual'!KC21)</f>
        <v>0</v>
      </c>
      <c r="N24" s="118">
        <f t="shared" si="0"/>
        <v>0</v>
      </c>
      <c r="P24" s="10"/>
    </row>
    <row r="25" spans="1:16" s="119" customFormat="1" ht="13">
      <c r="A25" s="13" t="s">
        <v>152</v>
      </c>
      <c r="B25" s="118">
        <f>IF($A25="","",'Situfin serie mensual'!JR22)</f>
        <v>76.828745115000004</v>
      </c>
      <c r="C25" s="118">
        <f>IF($A25="","",'Situfin serie mensual'!JS22)</f>
        <v>72.962042918999998</v>
      </c>
      <c r="D25" s="118">
        <f>IF($A25="","",'Situfin serie mensual'!JT22)</f>
        <v>0</v>
      </c>
      <c r="E25" s="118">
        <f>IF($A25="","",'Situfin serie mensual'!JU22)</f>
        <v>0</v>
      </c>
      <c r="F25" s="118">
        <f>IF($A25="","",'Situfin serie mensual'!JV22)</f>
        <v>0</v>
      </c>
      <c r="G25" s="118">
        <f>IF($A25="","",'Situfin serie mensual'!JW22)</f>
        <v>0</v>
      </c>
      <c r="H25" s="118">
        <f>IF($A25="","",'Situfin serie mensual'!JX22)</f>
        <v>0</v>
      </c>
      <c r="I25" s="118">
        <f>IF($A25="","",'Situfin serie mensual'!JY22)</f>
        <v>0</v>
      </c>
      <c r="J25" s="118">
        <f>IF($A25="","",'Situfin serie mensual'!JZ22)</f>
        <v>0</v>
      </c>
      <c r="K25" s="118">
        <f>IF($A25="","",'Situfin serie mensual'!KA22)</f>
        <v>0</v>
      </c>
      <c r="L25" s="118">
        <f>IF($A25="","",'Situfin serie mensual'!KB22)</f>
        <v>0</v>
      </c>
      <c r="M25" s="118">
        <f>IF($A25="","",'Situfin serie mensual'!KC22)</f>
        <v>0</v>
      </c>
      <c r="N25" s="118">
        <f t="shared" si="0"/>
        <v>149.790788034</v>
      </c>
      <c r="P25" s="10"/>
    </row>
    <row r="26" spans="1:16" s="119" customFormat="1" ht="13">
      <c r="A26" s="171" t="s">
        <v>184</v>
      </c>
      <c r="B26" s="118">
        <f>IF($A26="","",'Situfin serie mensual'!JR23)</f>
        <v>76.828745115000004</v>
      </c>
      <c r="C26" s="118">
        <f>IF($A26="","",'Situfin serie mensual'!JS23)</f>
        <v>72.962042918999998</v>
      </c>
      <c r="D26" s="118">
        <f>IF($A26="","",'Situfin serie mensual'!JT23)</f>
        <v>0</v>
      </c>
      <c r="E26" s="118">
        <f>IF($A26="","",'Situfin serie mensual'!JU23)</f>
        <v>0</v>
      </c>
      <c r="F26" s="118">
        <f>IF($A26="","",'Situfin serie mensual'!JV23)</f>
        <v>0</v>
      </c>
      <c r="G26" s="118">
        <f>IF($A26="","",'Situfin serie mensual'!JW23)</f>
        <v>0</v>
      </c>
      <c r="H26" s="118">
        <f>IF($A26="","",'Situfin serie mensual'!JX23)</f>
        <v>0</v>
      </c>
      <c r="I26" s="118">
        <f>IF($A26="","",'Situfin serie mensual'!JY23)</f>
        <v>0</v>
      </c>
      <c r="J26" s="118">
        <f>IF($A26="","",'Situfin serie mensual'!JZ23)</f>
        <v>0</v>
      </c>
      <c r="K26" s="118">
        <f>IF($A26="","",'Situfin serie mensual'!KA23)</f>
        <v>0</v>
      </c>
      <c r="L26" s="118">
        <f>IF($A26="","",'Situfin serie mensual'!KB23)</f>
        <v>0</v>
      </c>
      <c r="M26" s="118">
        <f>IF($A26="","",'Situfin serie mensual'!KC23)</f>
        <v>0</v>
      </c>
      <c r="N26" s="118">
        <f t="shared" si="0"/>
        <v>149.790788034</v>
      </c>
      <c r="P26" s="10"/>
    </row>
    <row r="27" spans="1:16" s="119" customFormat="1" ht="13">
      <c r="A27" s="171" t="s">
        <v>185</v>
      </c>
      <c r="B27" s="118">
        <f>IF($A27="","",'Situfin serie mensual'!JR24)</f>
        <v>0</v>
      </c>
      <c r="C27" s="118">
        <f>IF($A27="","",'Situfin serie mensual'!JS24)</f>
        <v>0</v>
      </c>
      <c r="D27" s="118">
        <f>IF($A27="","",'Situfin serie mensual'!JT24)</f>
        <v>0</v>
      </c>
      <c r="E27" s="118">
        <f>IF($A27="","",'Situfin serie mensual'!JU24)</f>
        <v>0</v>
      </c>
      <c r="F27" s="118">
        <f>IF($A27="","",'Situfin serie mensual'!JV24)</f>
        <v>0</v>
      </c>
      <c r="G27" s="118">
        <f>IF($A27="","",'Situfin serie mensual'!JW24)</f>
        <v>0</v>
      </c>
      <c r="H27" s="118">
        <f>IF($A27="","",'Situfin serie mensual'!JX24)</f>
        <v>0</v>
      </c>
      <c r="I27" s="118">
        <f>IF($A27="","",'Situfin serie mensual'!JY24)</f>
        <v>0</v>
      </c>
      <c r="J27" s="118">
        <f>IF($A27="","",'Situfin serie mensual'!JZ24)</f>
        <v>0</v>
      </c>
      <c r="K27" s="118">
        <f>IF($A27="","",'Situfin serie mensual'!KA24)</f>
        <v>0</v>
      </c>
      <c r="L27" s="118">
        <f>IF($A27="","",'Situfin serie mensual'!KB24)</f>
        <v>0</v>
      </c>
      <c r="M27" s="118">
        <f>IF($A27="","",'Situfin serie mensual'!KC24)</f>
        <v>0</v>
      </c>
      <c r="N27" s="118">
        <f t="shared" si="0"/>
        <v>0</v>
      </c>
      <c r="P27" s="10"/>
    </row>
    <row r="28" spans="1:16" s="16" customFormat="1" ht="13" outlineLevel="2">
      <c r="A28" s="10" t="s">
        <v>17</v>
      </c>
      <c r="B28" s="116">
        <f>IF($A28="","",'Situfin serie mensual'!JR25)</f>
        <v>453.12589557000007</v>
      </c>
      <c r="C28" s="116">
        <f>IF($A28="","",'Situfin serie mensual'!JS25)</f>
        <v>481.99062556899997</v>
      </c>
      <c r="D28" s="116">
        <f>IF($A28="","",'Situfin serie mensual'!JT25)</f>
        <v>0</v>
      </c>
      <c r="E28" s="116">
        <f>IF($A28="","",'Situfin serie mensual'!JU25)</f>
        <v>0</v>
      </c>
      <c r="F28" s="116">
        <f>IF($A28="","",'Situfin serie mensual'!JV25)</f>
        <v>0</v>
      </c>
      <c r="G28" s="116">
        <f>IF($A28="","",'Situfin serie mensual'!JW25)</f>
        <v>0</v>
      </c>
      <c r="H28" s="116">
        <f>IF($A28="","",'Situfin serie mensual'!JX25)</f>
        <v>0</v>
      </c>
      <c r="I28" s="116">
        <f>IF($A28="","",'Situfin serie mensual'!JY25)</f>
        <v>0</v>
      </c>
      <c r="J28" s="116">
        <f>IF($A28="","",'Situfin serie mensual'!JZ25)</f>
        <v>0</v>
      </c>
      <c r="K28" s="116">
        <f>IF($A28="","",'Situfin serie mensual'!KA25)</f>
        <v>0</v>
      </c>
      <c r="L28" s="116">
        <f>IF($A28="","",'Situfin serie mensual'!KB25)</f>
        <v>0</v>
      </c>
      <c r="M28" s="116">
        <f>IF($A28="","",'Situfin serie mensual'!KC25)</f>
        <v>0</v>
      </c>
      <c r="N28" s="116">
        <f t="shared" si="0"/>
        <v>935.11652113900004</v>
      </c>
      <c r="O28" s="10"/>
      <c r="P28" s="10"/>
    </row>
    <row r="29" spans="1:16" s="119" customFormat="1" ht="13">
      <c r="A29" s="13" t="s">
        <v>18</v>
      </c>
      <c r="B29" s="118">
        <f>IF($A29="","",'Situfin serie mensual'!JR26)</f>
        <v>306.15792449600002</v>
      </c>
      <c r="C29" s="118">
        <f>IF($A29="","",'Situfin serie mensual'!JS26)</f>
        <v>283.17015759899999</v>
      </c>
      <c r="D29" s="118">
        <f>IF($A29="","",'Situfin serie mensual'!JT26)</f>
        <v>0</v>
      </c>
      <c r="E29" s="118">
        <f>IF($A29="","",'Situfin serie mensual'!JU26)</f>
        <v>0</v>
      </c>
      <c r="F29" s="118">
        <f>IF($A29="","",'Situfin serie mensual'!JV26)</f>
        <v>0</v>
      </c>
      <c r="G29" s="118">
        <f>IF($A29="","",'Situfin serie mensual'!JW26)</f>
        <v>0</v>
      </c>
      <c r="H29" s="118">
        <f>IF($A29="","",'Situfin serie mensual'!JX26)</f>
        <v>0</v>
      </c>
      <c r="I29" s="118">
        <f>IF($A29="","",'Situfin serie mensual'!JY26)</f>
        <v>0</v>
      </c>
      <c r="J29" s="118">
        <f>IF($A29="","",'Situfin serie mensual'!JZ26)</f>
        <v>0</v>
      </c>
      <c r="K29" s="118">
        <f>IF($A29="","",'Situfin serie mensual'!KA26)</f>
        <v>0</v>
      </c>
      <c r="L29" s="118">
        <f>IF($A29="","",'Situfin serie mensual'!KB26)</f>
        <v>0</v>
      </c>
      <c r="M29" s="118">
        <f>IF($A29="","",'Situfin serie mensual'!KC26)</f>
        <v>0</v>
      </c>
      <c r="N29" s="118">
        <f t="shared" si="0"/>
        <v>589.32808209500001</v>
      </c>
      <c r="O29" s="10"/>
      <c r="P29" s="10"/>
    </row>
    <row r="30" spans="1:16" s="119" customFormat="1" ht="13">
      <c r="A30" s="171" t="s">
        <v>181</v>
      </c>
      <c r="B30" s="118">
        <f>IF($A30="","",'Situfin serie mensual'!JR27)</f>
        <v>228.11081871700003</v>
      </c>
      <c r="C30" s="118">
        <f>IF($A30="","",'Situfin serie mensual'!JS27)</f>
        <v>268.80575380400001</v>
      </c>
      <c r="D30" s="118">
        <f>IF($A30="","",'Situfin serie mensual'!JT27)</f>
        <v>0</v>
      </c>
      <c r="E30" s="118">
        <f>IF($A30="","",'Situfin serie mensual'!JU27)</f>
        <v>0</v>
      </c>
      <c r="F30" s="118">
        <f>IF($A30="","",'Situfin serie mensual'!JV27)</f>
        <v>0</v>
      </c>
      <c r="G30" s="118">
        <f>IF($A30="","",'Situfin serie mensual'!JW27)</f>
        <v>0</v>
      </c>
      <c r="H30" s="118">
        <f>IF($A30="","",'Situfin serie mensual'!JX27)</f>
        <v>0</v>
      </c>
      <c r="I30" s="118">
        <f>IF($A30="","",'Situfin serie mensual'!JY27)</f>
        <v>0</v>
      </c>
      <c r="J30" s="118">
        <f>IF($A30="","",'Situfin serie mensual'!JZ27)</f>
        <v>0</v>
      </c>
      <c r="K30" s="118">
        <f>IF($A30="","",'Situfin serie mensual'!KA27)</f>
        <v>0</v>
      </c>
      <c r="L30" s="118">
        <f>IF($A30="","",'Situfin serie mensual'!KB27)</f>
        <v>0</v>
      </c>
      <c r="M30" s="118">
        <f>IF($A30="","",'Situfin serie mensual'!KC27)</f>
        <v>0</v>
      </c>
      <c r="N30" s="118">
        <f t="shared" si="0"/>
        <v>496.91657252100003</v>
      </c>
      <c r="O30" s="10"/>
      <c r="P30" s="10"/>
    </row>
    <row r="31" spans="1:16" s="119" customFormat="1" ht="13">
      <c r="A31" s="171" t="s">
        <v>182</v>
      </c>
      <c r="B31" s="118">
        <f>IF($A31="","",'Situfin serie mensual'!JR28)</f>
        <v>78.047105778999978</v>
      </c>
      <c r="C31" s="118">
        <f>IF($A31="","",'Situfin serie mensual'!JS28)</f>
        <v>14.364403794999991</v>
      </c>
      <c r="D31" s="118">
        <f>IF($A31="","",'Situfin serie mensual'!JT28)</f>
        <v>0</v>
      </c>
      <c r="E31" s="118">
        <f>IF($A31="","",'Situfin serie mensual'!JU28)</f>
        <v>0</v>
      </c>
      <c r="F31" s="118">
        <f>IF($A31="","",'Situfin serie mensual'!JV28)</f>
        <v>0</v>
      </c>
      <c r="G31" s="118">
        <f>IF($A31="","",'Situfin serie mensual'!JW28)</f>
        <v>0</v>
      </c>
      <c r="H31" s="118">
        <f>IF($A31="","",'Situfin serie mensual'!JX28)</f>
        <v>0</v>
      </c>
      <c r="I31" s="118">
        <f>IF($A31="","",'Situfin serie mensual'!JY28)</f>
        <v>0</v>
      </c>
      <c r="J31" s="118">
        <f>IF($A31="","",'Situfin serie mensual'!JZ28)</f>
        <v>0</v>
      </c>
      <c r="K31" s="118">
        <f>IF($A31="","",'Situfin serie mensual'!KA28)</f>
        <v>0</v>
      </c>
      <c r="L31" s="118">
        <f>IF($A31="","",'Situfin serie mensual'!KB28)</f>
        <v>0</v>
      </c>
      <c r="M31" s="118">
        <f>IF($A31="","",'Situfin serie mensual'!KC28)</f>
        <v>0</v>
      </c>
      <c r="N31" s="118">
        <f t="shared" si="0"/>
        <v>92.411509573999965</v>
      </c>
      <c r="O31" s="10"/>
      <c r="P31" s="10"/>
    </row>
    <row r="32" spans="1:16" s="119" customFormat="1" ht="13">
      <c r="A32" s="13" t="s">
        <v>21</v>
      </c>
      <c r="B32" s="118">
        <f>IF($A32="","",'Situfin serie mensual'!JR29)</f>
        <v>142.95391196500003</v>
      </c>
      <c r="C32" s="118">
        <f>IF($A32="","",'Situfin serie mensual'!JS29)</f>
        <v>175.53839799799997</v>
      </c>
      <c r="D32" s="118">
        <f>IF($A32="","",'Situfin serie mensual'!JT29)</f>
        <v>0</v>
      </c>
      <c r="E32" s="118">
        <f>IF($A32="","",'Situfin serie mensual'!JU29)</f>
        <v>0</v>
      </c>
      <c r="F32" s="118">
        <f>IF($A32="","",'Situfin serie mensual'!JV29)</f>
        <v>0</v>
      </c>
      <c r="G32" s="118">
        <f>IF($A32="","",'Situfin serie mensual'!JW29)</f>
        <v>0</v>
      </c>
      <c r="H32" s="118">
        <f>IF($A32="","",'Situfin serie mensual'!JX29)</f>
        <v>0</v>
      </c>
      <c r="I32" s="118">
        <f>IF($A32="","",'Situfin serie mensual'!JY29)</f>
        <v>0</v>
      </c>
      <c r="J32" s="118">
        <f>IF($A32="","",'Situfin serie mensual'!JZ29)</f>
        <v>0</v>
      </c>
      <c r="K32" s="118">
        <f>IF($A32="","",'Situfin serie mensual'!KA29)</f>
        <v>0</v>
      </c>
      <c r="L32" s="118">
        <f>IF($A32="","",'Situfin serie mensual'!KB29)</f>
        <v>0</v>
      </c>
      <c r="M32" s="118">
        <f>IF($A32="","",'Situfin serie mensual'!KC29)</f>
        <v>0</v>
      </c>
      <c r="N32" s="118">
        <f t="shared" si="0"/>
        <v>318.49230996300003</v>
      </c>
      <c r="O32" s="10"/>
      <c r="P32" s="10"/>
    </row>
    <row r="33" spans="1:18" s="119" customFormat="1" ht="13">
      <c r="A33" s="171" t="s">
        <v>183</v>
      </c>
      <c r="B33" s="118">
        <f>IF($A33="","",'Situfin serie mensual'!JR30)</f>
        <v>0</v>
      </c>
      <c r="C33" s="118">
        <f>IF($A33="","",'Situfin serie mensual'!JS30)</f>
        <v>36.243442754</v>
      </c>
      <c r="D33" s="118">
        <f>IF($A33="","",'Situfin serie mensual'!JT30)</f>
        <v>0</v>
      </c>
      <c r="E33" s="118">
        <f>IF($A33="","",'Situfin serie mensual'!JU30)</f>
        <v>0</v>
      </c>
      <c r="F33" s="118">
        <f>IF($A33="","",'Situfin serie mensual'!JV30)</f>
        <v>0</v>
      </c>
      <c r="G33" s="118">
        <f>IF($A33="","",'Situfin serie mensual'!JW30)</f>
        <v>0</v>
      </c>
      <c r="H33" s="118">
        <f>IF($A33="","",'Situfin serie mensual'!JX30)</f>
        <v>0</v>
      </c>
      <c r="I33" s="118">
        <f>IF($A33="","",'Situfin serie mensual'!JY30)</f>
        <v>0</v>
      </c>
      <c r="J33" s="118">
        <f>IF($A33="","",'Situfin serie mensual'!JZ30)</f>
        <v>0</v>
      </c>
      <c r="K33" s="118">
        <f>IF($A33="","",'Situfin serie mensual'!KA30)</f>
        <v>0</v>
      </c>
      <c r="L33" s="118">
        <f>IF($A33="","",'Situfin serie mensual'!KB30)</f>
        <v>0</v>
      </c>
      <c r="M33" s="118">
        <f>IF($A33="","",'Situfin serie mensual'!KC30)</f>
        <v>0</v>
      </c>
      <c r="N33" s="118">
        <f t="shared" si="0"/>
        <v>36.243442754</v>
      </c>
      <c r="O33" s="10"/>
      <c r="P33" s="10"/>
    </row>
    <row r="34" spans="1:18" s="119" customFormat="1" ht="13">
      <c r="A34" s="171" t="s">
        <v>23</v>
      </c>
      <c r="B34" s="118">
        <f>IF($A34="","",'Situfin serie mensual'!JR31)</f>
        <v>142.95391196500003</v>
      </c>
      <c r="C34" s="118">
        <f>IF($A34="","",'Situfin serie mensual'!JS31)</f>
        <v>139.29495524399999</v>
      </c>
      <c r="D34" s="118">
        <f>IF($A34="","",'Situfin serie mensual'!JT31)</f>
        <v>0</v>
      </c>
      <c r="E34" s="118">
        <f>IF($A34="","",'Situfin serie mensual'!JU31)</f>
        <v>0</v>
      </c>
      <c r="F34" s="118">
        <f>IF($A34="","",'Situfin serie mensual'!JV31)</f>
        <v>0</v>
      </c>
      <c r="G34" s="118">
        <f>IF($A34="","",'Situfin serie mensual'!JW31)</f>
        <v>0</v>
      </c>
      <c r="H34" s="118">
        <f>IF($A34="","",'Situfin serie mensual'!JX31)</f>
        <v>0</v>
      </c>
      <c r="I34" s="118">
        <f>IF($A34="","",'Situfin serie mensual'!JY31)</f>
        <v>0</v>
      </c>
      <c r="J34" s="118">
        <f>IF($A34="","",'Situfin serie mensual'!JZ31)</f>
        <v>0</v>
      </c>
      <c r="K34" s="118">
        <f>IF($A34="","",'Situfin serie mensual'!KA31)</f>
        <v>0</v>
      </c>
      <c r="L34" s="118">
        <f>IF($A34="","",'Situfin serie mensual'!KB31)</f>
        <v>0</v>
      </c>
      <c r="M34" s="118">
        <f>IF($A34="","",'Situfin serie mensual'!KC31)</f>
        <v>0</v>
      </c>
      <c r="N34" s="118">
        <f t="shared" si="0"/>
        <v>282.24886720900003</v>
      </c>
      <c r="O34" s="10"/>
      <c r="P34" s="10"/>
    </row>
    <row r="35" spans="1:18" s="119" customFormat="1" ht="13">
      <c r="A35" s="172" t="s">
        <v>17</v>
      </c>
      <c r="B35" s="118">
        <f>IF($A35="","",'Situfin serie mensual'!JR32)</f>
        <v>4.0140591089999997</v>
      </c>
      <c r="C35" s="118">
        <f>IF($A35="","",'Situfin serie mensual'!JS32)</f>
        <v>23.282069971999999</v>
      </c>
      <c r="D35" s="118">
        <f>IF($A35="","",'Situfin serie mensual'!JT32)</f>
        <v>0</v>
      </c>
      <c r="E35" s="118">
        <f>IF($A35="","",'Situfin serie mensual'!JU32)</f>
        <v>0</v>
      </c>
      <c r="F35" s="118">
        <f>IF($A35="","",'Situfin serie mensual'!JV32)</f>
        <v>0</v>
      </c>
      <c r="G35" s="118">
        <f>IF($A35="","",'Situfin serie mensual'!JW32)</f>
        <v>0</v>
      </c>
      <c r="H35" s="118">
        <f>IF($A35="","",'Situfin serie mensual'!JX32)</f>
        <v>0</v>
      </c>
      <c r="I35" s="118">
        <f>IF($A35="","",'Situfin serie mensual'!JY32)</f>
        <v>0</v>
      </c>
      <c r="J35" s="118">
        <f>IF($A35="","",'Situfin serie mensual'!JZ32)</f>
        <v>0</v>
      </c>
      <c r="K35" s="118">
        <f>IF($A35="","",'Situfin serie mensual'!KA32)</f>
        <v>0</v>
      </c>
      <c r="L35" s="118">
        <f>IF($A35="","",'Situfin serie mensual'!KB32)</f>
        <v>0</v>
      </c>
      <c r="M35" s="118">
        <f>IF($A35="","",'Situfin serie mensual'!KC32)</f>
        <v>0</v>
      </c>
      <c r="N35" s="118">
        <f t="shared" si="0"/>
        <v>27.296129080999997</v>
      </c>
      <c r="O35" s="10"/>
      <c r="P35" s="10"/>
    </row>
    <row r="36" spans="1:18" s="119" customFormat="1" ht="13">
      <c r="A36" s="13"/>
      <c r="B36" s="118" t="str">
        <f>IF($A36="","",'Situfin serie mensual'!JR33)</f>
        <v/>
      </c>
      <c r="C36" s="118" t="str">
        <f>IF($A36="","",'Situfin serie mensual'!JS33)</f>
        <v/>
      </c>
      <c r="D36" s="118" t="str">
        <f>IF($A36="","",'Situfin serie mensual'!JT33)</f>
        <v/>
      </c>
      <c r="E36" s="118" t="str">
        <f>IF($A36="","",'Situfin serie mensual'!JU33)</f>
        <v/>
      </c>
      <c r="F36" s="118" t="str">
        <f>IF($A36="","",'Situfin serie mensual'!JV33)</f>
        <v/>
      </c>
      <c r="G36" s="118" t="str">
        <f>IF($A36="","",'Situfin serie mensual'!JW33)</f>
        <v/>
      </c>
      <c r="H36" s="118" t="str">
        <f>IF($A36="","",'Situfin serie mensual'!JX33)</f>
        <v/>
      </c>
      <c r="I36" s="118" t="str">
        <f>IF($A36="","",'Situfin serie mensual'!JY33)</f>
        <v/>
      </c>
      <c r="J36" s="118" t="str">
        <f>IF($A36="","",'Situfin serie mensual'!JZ33)</f>
        <v/>
      </c>
      <c r="K36" s="118" t="str">
        <f>IF($A36="","",'Situfin serie mensual'!KA33)</f>
        <v/>
      </c>
      <c r="L36" s="118" t="str">
        <f>IF($A36="","",'Situfin serie mensual'!KB33)</f>
        <v/>
      </c>
      <c r="M36" s="118" t="str">
        <f>IF($A36="","",'Situfin serie mensual'!KC33)</f>
        <v/>
      </c>
      <c r="N36" s="118"/>
      <c r="O36" s="10"/>
      <c r="P36" s="10"/>
    </row>
    <row r="37" spans="1:18" s="10" customFormat="1" ht="13">
      <c r="A37" s="113" t="s">
        <v>24</v>
      </c>
      <c r="B37" s="122">
        <f>IF($A37="","",'Situfin serie mensual'!JR34)</f>
        <v>4385.8614862040004</v>
      </c>
      <c r="C37" s="122">
        <f>IF($A37="","",'Situfin serie mensual'!JS34)</f>
        <v>4569.28245444</v>
      </c>
      <c r="D37" s="122">
        <f>IF($A37="","",'Situfin serie mensual'!JT34)</f>
        <v>0</v>
      </c>
      <c r="E37" s="122">
        <f>IF($A37="","",'Situfin serie mensual'!JU34)</f>
        <v>0</v>
      </c>
      <c r="F37" s="122">
        <f>IF($A37="","",'Situfin serie mensual'!JV34)</f>
        <v>0</v>
      </c>
      <c r="G37" s="122">
        <f>IF($A37="","",'Situfin serie mensual'!JW34)</f>
        <v>0</v>
      </c>
      <c r="H37" s="122">
        <f>IF($A37="","",'Situfin serie mensual'!JX34)</f>
        <v>0</v>
      </c>
      <c r="I37" s="122">
        <f>IF($A37="","",'Situfin serie mensual'!JY34)</f>
        <v>0</v>
      </c>
      <c r="J37" s="122">
        <f>IF($A37="","",'Situfin serie mensual'!JZ34)</f>
        <v>0</v>
      </c>
      <c r="K37" s="122">
        <f>IF($A37="","",'Situfin serie mensual'!KA34)</f>
        <v>0</v>
      </c>
      <c r="L37" s="122">
        <f>IF($A37="","",'Situfin serie mensual'!KB34)</f>
        <v>0</v>
      </c>
      <c r="M37" s="122">
        <f>IF($A37="","",'Situfin serie mensual'!KC34)</f>
        <v>0</v>
      </c>
      <c r="N37" s="122">
        <f t="shared" ref="N37:N72" si="1">+SUM(B37:M37)</f>
        <v>8955.1439406440004</v>
      </c>
    </row>
    <row r="38" spans="1:18" s="119" customFormat="1" ht="13">
      <c r="A38" s="123" t="s">
        <v>25</v>
      </c>
      <c r="B38" s="116">
        <f>IF($A38="","",'Situfin serie mensual'!JR35)</f>
        <v>1867.0977532270001</v>
      </c>
      <c r="C38" s="116">
        <f>IF($A38="","",'Situfin serie mensual'!JS35)</f>
        <v>1950.015988376</v>
      </c>
      <c r="D38" s="116">
        <f>IF($A38="","",'Situfin serie mensual'!JT35)</f>
        <v>0</v>
      </c>
      <c r="E38" s="116">
        <f>IF($A38="","",'Situfin serie mensual'!JU35)</f>
        <v>0</v>
      </c>
      <c r="F38" s="116">
        <f>IF($A38="","",'Situfin serie mensual'!JV35)</f>
        <v>0</v>
      </c>
      <c r="G38" s="116">
        <f>IF($A38="","",'Situfin serie mensual'!JW35)</f>
        <v>0</v>
      </c>
      <c r="H38" s="116">
        <f>IF($A38="","",'Situfin serie mensual'!JX35)</f>
        <v>0</v>
      </c>
      <c r="I38" s="116">
        <f>IF($A38="","",'Situfin serie mensual'!JY35)</f>
        <v>0</v>
      </c>
      <c r="J38" s="116">
        <f>IF($A38="","",'Situfin serie mensual'!JZ35)</f>
        <v>0</v>
      </c>
      <c r="K38" s="116">
        <f>IF($A38="","",'Situfin serie mensual'!KA35)</f>
        <v>0</v>
      </c>
      <c r="L38" s="116">
        <f>IF($A38="","",'Situfin serie mensual'!KB35)</f>
        <v>0</v>
      </c>
      <c r="M38" s="116">
        <f>IF($A38="","",'Situfin serie mensual'!KC35)</f>
        <v>0</v>
      </c>
      <c r="N38" s="124">
        <f t="shared" si="1"/>
        <v>3817.1137416030001</v>
      </c>
      <c r="O38" s="10"/>
      <c r="P38" s="10"/>
    </row>
    <row r="39" spans="1:18" s="119" customFormat="1" ht="13">
      <c r="A39" s="155" t="s">
        <v>26</v>
      </c>
      <c r="B39" s="116">
        <f>IF($A39="","",'Situfin serie mensual'!JR36)</f>
        <v>424.63473012100008</v>
      </c>
      <c r="C39" s="116">
        <f>IF($A39="","",'Situfin serie mensual'!JS36)</f>
        <v>392.22264952900002</v>
      </c>
      <c r="D39" s="116">
        <f>IF($A39="","",'Situfin serie mensual'!JT36)</f>
        <v>0</v>
      </c>
      <c r="E39" s="116">
        <f>IF($A39="","",'Situfin serie mensual'!JU36)</f>
        <v>0</v>
      </c>
      <c r="F39" s="116">
        <f>IF($A39="","",'Situfin serie mensual'!JV36)</f>
        <v>0</v>
      </c>
      <c r="G39" s="116">
        <f>IF($A39="","",'Situfin serie mensual'!JW36)</f>
        <v>0</v>
      </c>
      <c r="H39" s="116">
        <f>IF($A39="","",'Situfin serie mensual'!JX36)</f>
        <v>0</v>
      </c>
      <c r="I39" s="116">
        <f>IF($A39="","",'Situfin serie mensual'!JY36)</f>
        <v>0</v>
      </c>
      <c r="J39" s="116">
        <f>IF($A39="","",'Situfin serie mensual'!JZ36)</f>
        <v>0</v>
      </c>
      <c r="K39" s="116">
        <f>IF($A39="","",'Situfin serie mensual'!KA36)</f>
        <v>0</v>
      </c>
      <c r="L39" s="116">
        <f>IF($A39="","",'Situfin serie mensual'!KB36)</f>
        <v>0</v>
      </c>
      <c r="M39" s="116">
        <f>IF($A39="","",'Situfin serie mensual'!KC36)</f>
        <v>0</v>
      </c>
      <c r="N39" s="116">
        <f t="shared" si="1"/>
        <v>816.8573796500001</v>
      </c>
      <c r="O39" s="10"/>
      <c r="P39" s="10"/>
    </row>
    <row r="40" spans="1:18" s="119" customFormat="1" ht="13">
      <c r="A40" s="31" t="s">
        <v>27</v>
      </c>
      <c r="B40" s="118">
        <f>IF($A40="","",'Situfin serie mensual'!JR37)</f>
        <v>157.198153808</v>
      </c>
      <c r="C40" s="118">
        <f>IF($A40="","",'Situfin serie mensual'!JS37)</f>
        <v>92.390545012000004</v>
      </c>
      <c r="D40" s="118">
        <f>IF($A40="","",'Situfin serie mensual'!JT37)</f>
        <v>0</v>
      </c>
      <c r="E40" s="118">
        <f>IF($A40="","",'Situfin serie mensual'!JU37)</f>
        <v>0</v>
      </c>
      <c r="F40" s="118">
        <f>IF($A40="","",'Situfin serie mensual'!JV37)</f>
        <v>0</v>
      </c>
      <c r="G40" s="118">
        <f>IF($A40="","",'Situfin serie mensual'!JW37)</f>
        <v>0</v>
      </c>
      <c r="H40" s="118">
        <f>IF($A40="","",'Situfin serie mensual'!JX37)</f>
        <v>0</v>
      </c>
      <c r="I40" s="118">
        <f>IF($A40="","",'Situfin serie mensual'!JY37)</f>
        <v>0</v>
      </c>
      <c r="J40" s="118">
        <f>IF($A40="","",'Situfin serie mensual'!JZ37)</f>
        <v>0</v>
      </c>
      <c r="K40" s="118">
        <f>IF($A40="","",'Situfin serie mensual'!KA37)</f>
        <v>0</v>
      </c>
      <c r="L40" s="118">
        <f>IF($A40="","",'Situfin serie mensual'!KB37)</f>
        <v>0</v>
      </c>
      <c r="M40" s="118">
        <f>IF($A40="","",'Situfin serie mensual'!KC37)</f>
        <v>0</v>
      </c>
      <c r="N40" s="118">
        <f t="shared" si="1"/>
        <v>249.58869881999999</v>
      </c>
      <c r="O40" s="10"/>
      <c r="P40" s="10"/>
    </row>
    <row r="41" spans="1:18" s="119" customFormat="1" ht="13">
      <c r="A41" s="31" t="s">
        <v>28</v>
      </c>
      <c r="B41" s="118">
        <f>IF($A41="","",'Situfin serie mensual'!JR38)</f>
        <v>267.43634103300002</v>
      </c>
      <c r="C41" s="118">
        <f>IF($A41="","",'Situfin serie mensual'!JS38)</f>
        <v>294.83585404900003</v>
      </c>
      <c r="D41" s="118">
        <f>IF($A41="","",'Situfin serie mensual'!JT38)</f>
        <v>0</v>
      </c>
      <c r="E41" s="118">
        <f>IF($A41="","",'Situfin serie mensual'!JU38)</f>
        <v>0</v>
      </c>
      <c r="F41" s="118">
        <f>IF($A41="","",'Situfin serie mensual'!JV38)</f>
        <v>0</v>
      </c>
      <c r="G41" s="118">
        <f>IF($A41="","",'Situfin serie mensual'!JW38)</f>
        <v>0</v>
      </c>
      <c r="H41" s="118">
        <f>IF($A41="","",'Situfin serie mensual'!JX38)</f>
        <v>0</v>
      </c>
      <c r="I41" s="118">
        <f>IF($A41="","",'Situfin serie mensual'!JY38)</f>
        <v>0</v>
      </c>
      <c r="J41" s="118">
        <f>IF($A41="","",'Situfin serie mensual'!JZ38)</f>
        <v>0</v>
      </c>
      <c r="K41" s="118">
        <f>IF($A41="","",'Situfin serie mensual'!KA38)</f>
        <v>0</v>
      </c>
      <c r="L41" s="118">
        <f>IF($A41="","",'Situfin serie mensual'!KB38)</f>
        <v>0</v>
      </c>
      <c r="M41" s="118">
        <f>IF($A41="","",'Situfin serie mensual'!KC38)</f>
        <v>0</v>
      </c>
      <c r="N41" s="118">
        <f t="shared" si="1"/>
        <v>562.27219508200005</v>
      </c>
      <c r="O41" s="10"/>
      <c r="P41" s="10"/>
    </row>
    <row r="42" spans="1:18" s="119" customFormat="1" ht="13">
      <c r="A42" s="31" t="s">
        <v>29</v>
      </c>
      <c r="B42" s="118">
        <f>IF($A42="","",'Situfin serie mensual'!JR39)</f>
        <v>2.3527999999999998E-4</v>
      </c>
      <c r="C42" s="118">
        <f>IF($A42="","",'Situfin serie mensual'!JS39)</f>
        <v>4.9962504680000004</v>
      </c>
      <c r="D42" s="118">
        <f>IF($A42="","",'Situfin serie mensual'!JT39)</f>
        <v>0</v>
      </c>
      <c r="E42" s="118">
        <f>IF($A42="","",'Situfin serie mensual'!JU39)</f>
        <v>0</v>
      </c>
      <c r="F42" s="118">
        <f>IF($A42="","",'Situfin serie mensual'!JV39)</f>
        <v>0</v>
      </c>
      <c r="G42" s="118">
        <f>IF($A42="","",'Situfin serie mensual'!JW39)</f>
        <v>0</v>
      </c>
      <c r="H42" s="118">
        <f>IF($A42="","",'Situfin serie mensual'!JX39)</f>
        <v>0</v>
      </c>
      <c r="I42" s="118">
        <f>IF($A42="","",'Situfin serie mensual'!JY39)</f>
        <v>0</v>
      </c>
      <c r="J42" s="118">
        <f>IF($A42="","",'Situfin serie mensual'!JZ39)</f>
        <v>0</v>
      </c>
      <c r="K42" s="118">
        <f>IF($A42="","",'Situfin serie mensual'!KA39)</f>
        <v>0</v>
      </c>
      <c r="L42" s="118">
        <f>IF($A42="","",'Situfin serie mensual'!KB39)</f>
        <v>0</v>
      </c>
      <c r="M42" s="118">
        <f>IF($A42="","",'Situfin serie mensual'!KC39)</f>
        <v>0</v>
      </c>
      <c r="N42" s="118">
        <f t="shared" si="1"/>
        <v>4.9964857480000004</v>
      </c>
      <c r="O42" s="10"/>
      <c r="P42" s="10"/>
    </row>
    <row r="43" spans="1:18" s="119" customFormat="1" ht="13">
      <c r="A43" s="31" t="s">
        <v>30</v>
      </c>
      <c r="B43" s="118">
        <f>IF($A43="","",'Situfin serie mensual'!JR40)</f>
        <v>0</v>
      </c>
      <c r="C43" s="118">
        <f>IF($A43="","",'Situfin serie mensual'!JS40)</f>
        <v>0</v>
      </c>
      <c r="D43" s="118">
        <f>IF($A43="","",'Situfin serie mensual'!JT40)</f>
        <v>0</v>
      </c>
      <c r="E43" s="118">
        <f>IF($A43="","",'Situfin serie mensual'!JU40)</f>
        <v>0</v>
      </c>
      <c r="F43" s="118">
        <f>IF($A43="","",'Situfin serie mensual'!JV40)</f>
        <v>0</v>
      </c>
      <c r="G43" s="118">
        <f>IF($A43="","",'Situfin serie mensual'!JW40)</f>
        <v>0</v>
      </c>
      <c r="H43" s="118">
        <f>IF($A43="","",'Situfin serie mensual'!JX40)</f>
        <v>0</v>
      </c>
      <c r="I43" s="118">
        <f>IF($A43="","",'Situfin serie mensual'!JY40)</f>
        <v>0</v>
      </c>
      <c r="J43" s="118">
        <f>IF($A43="","",'Situfin serie mensual'!JZ40)</f>
        <v>0</v>
      </c>
      <c r="K43" s="118">
        <f>IF($A43="","",'Situfin serie mensual'!KA40)</f>
        <v>0</v>
      </c>
      <c r="L43" s="118">
        <f>IF($A43="","",'Situfin serie mensual'!KB40)</f>
        <v>0</v>
      </c>
      <c r="M43" s="118">
        <f>IF($A43="","",'Situfin serie mensual'!KC40)</f>
        <v>0</v>
      </c>
      <c r="N43" s="118">
        <f t="shared" si="1"/>
        <v>0</v>
      </c>
      <c r="O43" s="10"/>
      <c r="P43" s="10"/>
    </row>
    <row r="44" spans="1:18" s="119" customFormat="1" ht="13">
      <c r="A44" s="155" t="s">
        <v>31</v>
      </c>
      <c r="B44" s="116">
        <f>IF($A44="","",'Situfin serie mensual'!JR41)</f>
        <v>545.73954026600006</v>
      </c>
      <c r="C44" s="116">
        <f>IF($A44="","",'Situfin serie mensual'!JS41)</f>
        <v>705.92329949099997</v>
      </c>
      <c r="D44" s="116">
        <f>IF($A44="","",'Situfin serie mensual'!JT41)</f>
        <v>0</v>
      </c>
      <c r="E44" s="116">
        <f>IF($A44="","",'Situfin serie mensual'!JU41)</f>
        <v>0</v>
      </c>
      <c r="F44" s="116">
        <f>IF($A44="","",'Situfin serie mensual'!JV41)</f>
        <v>0</v>
      </c>
      <c r="G44" s="116">
        <f>IF($A44="","",'Situfin serie mensual'!JW41)</f>
        <v>0</v>
      </c>
      <c r="H44" s="116">
        <f>IF($A44="","",'Situfin serie mensual'!JX41)</f>
        <v>0</v>
      </c>
      <c r="I44" s="116">
        <f>IF($A44="","",'Situfin serie mensual'!JY41)</f>
        <v>0</v>
      </c>
      <c r="J44" s="116">
        <f>IF($A44="","",'Situfin serie mensual'!JZ41)</f>
        <v>0</v>
      </c>
      <c r="K44" s="116">
        <f>IF($A44="","",'Situfin serie mensual'!KA41)</f>
        <v>0</v>
      </c>
      <c r="L44" s="116">
        <f>IF($A44="","",'Situfin serie mensual'!KB41)</f>
        <v>0</v>
      </c>
      <c r="M44" s="116">
        <f>IF($A44="","",'Situfin serie mensual'!KC41)</f>
        <v>0</v>
      </c>
      <c r="N44" s="116">
        <f t="shared" si="1"/>
        <v>1251.662839757</v>
      </c>
      <c r="O44" s="10"/>
      <c r="P44" s="10"/>
    </row>
    <row r="45" spans="1:18" s="119" customFormat="1" ht="13">
      <c r="A45" s="31" t="s">
        <v>32</v>
      </c>
      <c r="B45" s="118">
        <f>IF($A45="","",'Situfin serie mensual'!JR42)</f>
        <v>362.79598996600004</v>
      </c>
      <c r="C45" s="118">
        <f>IF($A45="","",'Situfin serie mensual'!JS42)</f>
        <v>648.01772862899998</v>
      </c>
      <c r="D45" s="118">
        <f>IF($A45="","",'Situfin serie mensual'!JT42)</f>
        <v>0</v>
      </c>
      <c r="E45" s="118">
        <f>IF($A45="","",'Situfin serie mensual'!JU42)</f>
        <v>0</v>
      </c>
      <c r="F45" s="118">
        <f>IF($A45="","",'Situfin serie mensual'!JV42)</f>
        <v>0</v>
      </c>
      <c r="G45" s="118">
        <f>IF($A45="","",'Situfin serie mensual'!JW42)</f>
        <v>0</v>
      </c>
      <c r="H45" s="118">
        <f>IF($A45="","",'Situfin serie mensual'!JX42)</f>
        <v>0</v>
      </c>
      <c r="I45" s="118">
        <f>IF($A45="","",'Situfin serie mensual'!JY42)</f>
        <v>0</v>
      </c>
      <c r="J45" s="118">
        <f>IF($A45="","",'Situfin serie mensual'!JZ42)</f>
        <v>0</v>
      </c>
      <c r="K45" s="118">
        <f>IF($A45="","",'Situfin serie mensual'!KA42)</f>
        <v>0</v>
      </c>
      <c r="L45" s="118">
        <f>IF($A45="","",'Situfin serie mensual'!KB42)</f>
        <v>0</v>
      </c>
      <c r="M45" s="118">
        <f>IF($A45="","",'Situfin serie mensual'!KC42)</f>
        <v>0</v>
      </c>
      <c r="N45" s="118">
        <f t="shared" si="1"/>
        <v>1010.813718595</v>
      </c>
      <c r="O45" s="10"/>
      <c r="P45" s="10"/>
      <c r="Q45" s="10"/>
      <c r="R45" s="147"/>
    </row>
    <row r="46" spans="1:18" s="119" customFormat="1" ht="13">
      <c r="A46" s="31" t="s">
        <v>33</v>
      </c>
      <c r="B46" s="118">
        <f>IF($A46="","",'Situfin serie mensual'!JR43)</f>
        <v>182.9435503</v>
      </c>
      <c r="C46" s="118">
        <f>IF($A46="","",'Situfin serie mensual'!JS43)</f>
        <v>57.905570861999998</v>
      </c>
      <c r="D46" s="118">
        <f>IF($A46="","",'Situfin serie mensual'!JT43)</f>
        <v>0</v>
      </c>
      <c r="E46" s="118">
        <f>IF($A46="","",'Situfin serie mensual'!JU43)</f>
        <v>0</v>
      </c>
      <c r="F46" s="118">
        <f>IF($A46="","",'Situfin serie mensual'!JV43)</f>
        <v>0</v>
      </c>
      <c r="G46" s="118">
        <f>IF($A46="","",'Situfin serie mensual'!JW43)</f>
        <v>0</v>
      </c>
      <c r="H46" s="118">
        <f>IF($A46="","",'Situfin serie mensual'!JX43)</f>
        <v>0</v>
      </c>
      <c r="I46" s="118">
        <f>IF($A46="","",'Situfin serie mensual'!JY43)</f>
        <v>0</v>
      </c>
      <c r="J46" s="118">
        <f>IF($A46="","",'Situfin serie mensual'!JZ43)</f>
        <v>0</v>
      </c>
      <c r="K46" s="118">
        <f>IF($A46="","",'Situfin serie mensual'!KA43)</f>
        <v>0</v>
      </c>
      <c r="L46" s="118">
        <f>IF($A46="","",'Situfin serie mensual'!KB43)</f>
        <v>0</v>
      </c>
      <c r="M46" s="118">
        <f>IF($A46="","",'Situfin serie mensual'!KC43)</f>
        <v>0</v>
      </c>
      <c r="N46" s="118">
        <f t="shared" si="1"/>
        <v>240.84912116199999</v>
      </c>
      <c r="O46" s="10"/>
      <c r="P46" s="10"/>
    </row>
    <row r="47" spans="1:18" s="119" customFormat="1" ht="13">
      <c r="A47" s="13" t="s">
        <v>34</v>
      </c>
      <c r="B47" s="118">
        <f>IF($A47="","",'Situfin serie mensual'!JR44)</f>
        <v>0</v>
      </c>
      <c r="C47" s="118">
        <f>IF($A47="","",'Situfin serie mensual'!JS44)</f>
        <v>0</v>
      </c>
      <c r="D47" s="118">
        <f>IF($A47="","",'Situfin serie mensual'!JT44)</f>
        <v>0</v>
      </c>
      <c r="E47" s="118">
        <f>IF($A47="","",'Situfin serie mensual'!JU44)</f>
        <v>0</v>
      </c>
      <c r="F47" s="118">
        <f>IF($A47="","",'Situfin serie mensual'!JV44)</f>
        <v>0</v>
      </c>
      <c r="G47" s="118">
        <f>IF($A47="","",'Situfin serie mensual'!JW44)</f>
        <v>0</v>
      </c>
      <c r="H47" s="118">
        <f>IF($A47="","",'Situfin serie mensual'!JX44)</f>
        <v>0</v>
      </c>
      <c r="I47" s="118">
        <f>IF($A47="","",'Situfin serie mensual'!JY44)</f>
        <v>0</v>
      </c>
      <c r="J47" s="118">
        <f>IF($A47="","",'Situfin serie mensual'!JZ44)</f>
        <v>0</v>
      </c>
      <c r="K47" s="118">
        <f>IF($A47="","",'Situfin serie mensual'!KA44)</f>
        <v>0</v>
      </c>
      <c r="L47" s="118">
        <f>IF($A47="","",'Situfin serie mensual'!KB44)</f>
        <v>0</v>
      </c>
      <c r="M47" s="118">
        <f>IF($A47="","",'Situfin serie mensual'!KC44)</f>
        <v>0</v>
      </c>
      <c r="N47" s="118">
        <f t="shared" si="1"/>
        <v>0</v>
      </c>
      <c r="O47" s="10"/>
      <c r="P47" s="10"/>
    </row>
    <row r="48" spans="1:18" s="119" customFormat="1" ht="13">
      <c r="A48" s="155" t="s">
        <v>11</v>
      </c>
      <c r="B48" s="116">
        <f>IF($A48="","",'Situfin serie mensual'!JR45)</f>
        <v>530.35424681400002</v>
      </c>
      <c r="C48" s="116">
        <f>IF($A48="","",'Situfin serie mensual'!JS45)</f>
        <v>442.81806623899996</v>
      </c>
      <c r="D48" s="116">
        <f>IF($A48="","",'Situfin serie mensual'!JT45)</f>
        <v>0</v>
      </c>
      <c r="E48" s="116">
        <f>IF($A48="","",'Situfin serie mensual'!JU45)</f>
        <v>0</v>
      </c>
      <c r="F48" s="116">
        <f>IF($A48="","",'Situfin serie mensual'!JV45)</f>
        <v>0</v>
      </c>
      <c r="G48" s="116">
        <f>IF($A48="","",'Situfin serie mensual'!JW45)</f>
        <v>0</v>
      </c>
      <c r="H48" s="116">
        <f>IF($A48="","",'Situfin serie mensual'!JX45)</f>
        <v>0</v>
      </c>
      <c r="I48" s="116">
        <f>IF($A48="","",'Situfin serie mensual'!JY45)</f>
        <v>0</v>
      </c>
      <c r="J48" s="116">
        <f>IF($A48="","",'Situfin serie mensual'!JZ45)</f>
        <v>0</v>
      </c>
      <c r="K48" s="116">
        <f>IF($A48="","",'Situfin serie mensual'!KA45)</f>
        <v>0</v>
      </c>
      <c r="L48" s="116">
        <f>IF($A48="","",'Situfin serie mensual'!KB45)</f>
        <v>0</v>
      </c>
      <c r="M48" s="116">
        <f>IF($A48="","",'Situfin serie mensual'!KC45)</f>
        <v>0</v>
      </c>
      <c r="N48" s="116">
        <f t="shared" si="1"/>
        <v>973.17231305299993</v>
      </c>
      <c r="O48" s="10"/>
      <c r="P48" s="10"/>
    </row>
    <row r="49" spans="1:16" s="119" customFormat="1" ht="13">
      <c r="A49" s="13" t="s">
        <v>170</v>
      </c>
      <c r="B49" s="118">
        <f>IF($A49="","",'Situfin serie mensual'!JR46)</f>
        <v>0</v>
      </c>
      <c r="C49" s="118">
        <f>IF($A49="","",'Situfin serie mensual'!JS46)</f>
        <v>0</v>
      </c>
      <c r="D49" s="118">
        <f>IF($A49="","",'Situfin serie mensual'!JT46)</f>
        <v>0</v>
      </c>
      <c r="E49" s="118">
        <f>IF($A49="","",'Situfin serie mensual'!JU46)</f>
        <v>0</v>
      </c>
      <c r="F49" s="118">
        <f>IF($A49="","",'Situfin serie mensual'!JV46)</f>
        <v>0</v>
      </c>
      <c r="G49" s="118">
        <f>IF($A49="","",'Situfin serie mensual'!JW46)</f>
        <v>0</v>
      </c>
      <c r="H49" s="118">
        <f>IF($A49="","",'Situfin serie mensual'!JX46)</f>
        <v>0</v>
      </c>
      <c r="I49" s="118">
        <f>IF($A49="","",'Situfin serie mensual'!JY46)</f>
        <v>0</v>
      </c>
      <c r="J49" s="118">
        <f>IF($A49="","",'Situfin serie mensual'!JZ46)</f>
        <v>0</v>
      </c>
      <c r="K49" s="118">
        <f>IF($A49="","",'Situfin serie mensual'!KA46)</f>
        <v>0</v>
      </c>
      <c r="L49" s="118">
        <f>IF($A49="","",'Situfin serie mensual'!KB46)</f>
        <v>0</v>
      </c>
      <c r="M49" s="118">
        <f>IF($A49="","",'Situfin serie mensual'!KC46)</f>
        <v>0</v>
      </c>
      <c r="N49" s="118">
        <f t="shared" si="1"/>
        <v>0</v>
      </c>
      <c r="O49" s="10"/>
      <c r="P49" s="10"/>
    </row>
    <row r="50" spans="1:16" s="119" customFormat="1" ht="13">
      <c r="A50" s="13" t="s">
        <v>13</v>
      </c>
      <c r="B50" s="118">
        <f>IF($A50="","",'Situfin serie mensual'!JR47)</f>
        <v>0</v>
      </c>
      <c r="C50" s="118">
        <f>IF($A50="","",'Situfin serie mensual'!JS47)</f>
        <v>0</v>
      </c>
      <c r="D50" s="118">
        <f>IF($A50="","",'Situfin serie mensual'!JT47)</f>
        <v>0</v>
      </c>
      <c r="E50" s="118">
        <f>IF($A50="","",'Situfin serie mensual'!JU47)</f>
        <v>0</v>
      </c>
      <c r="F50" s="118">
        <f>IF($A50="","",'Situfin serie mensual'!JV47)</f>
        <v>0</v>
      </c>
      <c r="G50" s="118">
        <f>IF($A50="","",'Situfin serie mensual'!JW47)</f>
        <v>0</v>
      </c>
      <c r="H50" s="118">
        <f>IF($A50="","",'Situfin serie mensual'!JX47)</f>
        <v>0</v>
      </c>
      <c r="I50" s="118">
        <f>IF($A50="","",'Situfin serie mensual'!JY47)</f>
        <v>0</v>
      </c>
      <c r="J50" s="118">
        <f>IF($A50="","",'Situfin serie mensual'!JZ47)</f>
        <v>0</v>
      </c>
      <c r="K50" s="118">
        <f>IF($A50="","",'Situfin serie mensual'!KA47)</f>
        <v>0</v>
      </c>
      <c r="L50" s="118">
        <f>IF($A50="","",'Situfin serie mensual'!KB47)</f>
        <v>0</v>
      </c>
      <c r="M50" s="118">
        <f>IF($A50="","",'Situfin serie mensual'!KC47)</f>
        <v>0</v>
      </c>
      <c r="N50" s="118">
        <f t="shared" si="1"/>
        <v>0</v>
      </c>
      <c r="O50" s="10"/>
      <c r="P50" s="10"/>
    </row>
    <row r="51" spans="1:16" s="119" customFormat="1" ht="13">
      <c r="A51" s="13" t="s">
        <v>14</v>
      </c>
      <c r="B51" s="118">
        <f>IF($A51="","",'Situfin serie mensual'!JR48)</f>
        <v>0</v>
      </c>
      <c r="C51" s="118">
        <f>IF($A51="","",'Situfin serie mensual'!JS48)</f>
        <v>0</v>
      </c>
      <c r="D51" s="118">
        <f>IF($A51="","",'Situfin serie mensual'!JT48)</f>
        <v>0</v>
      </c>
      <c r="E51" s="118">
        <f>IF($A51="","",'Situfin serie mensual'!JU48)</f>
        <v>0</v>
      </c>
      <c r="F51" s="118">
        <f>IF($A51="","",'Situfin serie mensual'!JV48)</f>
        <v>0</v>
      </c>
      <c r="G51" s="118">
        <f>IF($A51="","",'Situfin serie mensual'!JW48)</f>
        <v>0</v>
      </c>
      <c r="H51" s="118">
        <f>IF($A51="","",'Situfin serie mensual'!JX48)</f>
        <v>0</v>
      </c>
      <c r="I51" s="118">
        <f>IF($A51="","",'Situfin serie mensual'!JY48)</f>
        <v>0</v>
      </c>
      <c r="J51" s="118">
        <f>IF($A51="","",'Situfin serie mensual'!JZ48)</f>
        <v>0</v>
      </c>
      <c r="K51" s="118">
        <f>IF($A51="","",'Situfin serie mensual'!KA48)</f>
        <v>0</v>
      </c>
      <c r="L51" s="118">
        <f>IF($A51="","",'Situfin serie mensual'!KB48)</f>
        <v>0</v>
      </c>
      <c r="M51" s="118">
        <f>IF($A51="","",'Situfin serie mensual'!KC48)</f>
        <v>0</v>
      </c>
      <c r="N51" s="118">
        <f t="shared" si="1"/>
        <v>0</v>
      </c>
      <c r="O51" s="10"/>
      <c r="P51" s="10"/>
    </row>
    <row r="52" spans="1:16" s="119" customFormat="1" ht="13">
      <c r="A52" s="13" t="s">
        <v>153</v>
      </c>
      <c r="B52" s="118">
        <f>IF($A52="","",'Situfin serie mensual'!JR49)</f>
        <v>0.7083497190000001</v>
      </c>
      <c r="C52" s="118">
        <f>IF($A52="","",'Situfin serie mensual'!JS49)</f>
        <v>1.4506104319999999</v>
      </c>
      <c r="D52" s="118">
        <f>IF($A52="","",'Situfin serie mensual'!JT49)</f>
        <v>0</v>
      </c>
      <c r="E52" s="118">
        <f>IF($A52="","",'Situfin serie mensual'!JU49)</f>
        <v>0</v>
      </c>
      <c r="F52" s="118">
        <f>IF($A52="","",'Situfin serie mensual'!JV49)</f>
        <v>0</v>
      </c>
      <c r="G52" s="118">
        <f>IF($A52="","",'Situfin serie mensual'!JW49)</f>
        <v>0</v>
      </c>
      <c r="H52" s="118">
        <f>IF($A52="","",'Situfin serie mensual'!JX49)</f>
        <v>0</v>
      </c>
      <c r="I52" s="118">
        <f>IF($A52="","",'Situfin serie mensual'!JY49)</f>
        <v>0</v>
      </c>
      <c r="J52" s="118">
        <f>IF($A52="","",'Situfin serie mensual'!JZ49)</f>
        <v>0</v>
      </c>
      <c r="K52" s="118">
        <f>IF($A52="","",'Situfin serie mensual'!KA49)</f>
        <v>0</v>
      </c>
      <c r="L52" s="118">
        <f>IF($A52="","",'Situfin serie mensual'!KB49)</f>
        <v>0</v>
      </c>
      <c r="M52" s="118">
        <f>IF($A52="","",'Situfin serie mensual'!KC49)</f>
        <v>0</v>
      </c>
      <c r="N52" s="118">
        <f t="shared" si="1"/>
        <v>2.158960151</v>
      </c>
      <c r="O52" s="10"/>
      <c r="P52" s="10"/>
    </row>
    <row r="53" spans="1:16" s="119" customFormat="1" ht="13">
      <c r="A53" s="13" t="s">
        <v>13</v>
      </c>
      <c r="B53" s="118">
        <f>IF($A53="","",'Situfin serie mensual'!JR50)</f>
        <v>0.7083497190000001</v>
      </c>
      <c r="C53" s="118">
        <f>IF($A53="","",'Situfin serie mensual'!JS50)</f>
        <v>1.4506104319999999</v>
      </c>
      <c r="D53" s="118">
        <f>IF($A53="","",'Situfin serie mensual'!JT50)</f>
        <v>0</v>
      </c>
      <c r="E53" s="118">
        <f>IF($A53="","",'Situfin serie mensual'!JU50)</f>
        <v>0</v>
      </c>
      <c r="F53" s="118">
        <f>IF($A53="","",'Situfin serie mensual'!JV50)</f>
        <v>0</v>
      </c>
      <c r="G53" s="118">
        <f>IF($A53="","",'Situfin serie mensual'!JW50)</f>
        <v>0</v>
      </c>
      <c r="H53" s="118">
        <f>IF($A53="","",'Situfin serie mensual'!JX50)</f>
        <v>0</v>
      </c>
      <c r="I53" s="118">
        <f>IF($A53="","",'Situfin serie mensual'!JY50)</f>
        <v>0</v>
      </c>
      <c r="J53" s="118">
        <f>IF($A53="","",'Situfin serie mensual'!JZ50)</f>
        <v>0</v>
      </c>
      <c r="K53" s="118">
        <f>IF($A53="","",'Situfin serie mensual'!KA50)</f>
        <v>0</v>
      </c>
      <c r="L53" s="118">
        <f>IF($A53="","",'Situfin serie mensual'!KB50)</f>
        <v>0</v>
      </c>
      <c r="M53" s="118">
        <f>IF($A53="","",'Situfin serie mensual'!KC50)</f>
        <v>0</v>
      </c>
      <c r="N53" s="118">
        <f t="shared" si="1"/>
        <v>2.158960151</v>
      </c>
      <c r="O53" s="10"/>
      <c r="P53" s="10"/>
    </row>
    <row r="54" spans="1:16" s="119" customFormat="1" ht="13">
      <c r="A54" s="13" t="s">
        <v>14</v>
      </c>
      <c r="B54" s="118">
        <f>IF($A54="","",'Situfin serie mensual'!JR51)</f>
        <v>0</v>
      </c>
      <c r="C54" s="118">
        <f>IF($A54="","",'Situfin serie mensual'!JS51)</f>
        <v>0</v>
      </c>
      <c r="D54" s="118">
        <f>IF($A54="","",'Situfin serie mensual'!JT51)</f>
        <v>0</v>
      </c>
      <c r="E54" s="118">
        <f>IF($A54="","",'Situfin serie mensual'!JU51)</f>
        <v>0</v>
      </c>
      <c r="F54" s="118">
        <f>IF($A54="","",'Situfin serie mensual'!JV51)</f>
        <v>0</v>
      </c>
      <c r="G54" s="118">
        <f>IF($A54="","",'Situfin serie mensual'!JW51)</f>
        <v>0</v>
      </c>
      <c r="H54" s="118">
        <f>IF($A54="","",'Situfin serie mensual'!JX51)</f>
        <v>0</v>
      </c>
      <c r="I54" s="118">
        <f>IF($A54="","",'Situfin serie mensual'!JY51)</f>
        <v>0</v>
      </c>
      <c r="J54" s="118">
        <f>IF($A54="","",'Situfin serie mensual'!JZ51)</f>
        <v>0</v>
      </c>
      <c r="K54" s="118">
        <f>IF($A54="","",'Situfin serie mensual'!KA51)</f>
        <v>0</v>
      </c>
      <c r="L54" s="118">
        <f>IF($A54="","",'Situfin serie mensual'!KB51)</f>
        <v>0</v>
      </c>
      <c r="M54" s="118">
        <f>IF($A54="","",'Situfin serie mensual'!KC51)</f>
        <v>0</v>
      </c>
      <c r="N54" s="118">
        <f t="shared" si="1"/>
        <v>0</v>
      </c>
      <c r="O54" s="10"/>
      <c r="P54" s="10"/>
    </row>
    <row r="55" spans="1:16" s="119" customFormat="1" ht="13">
      <c r="A55" s="13" t="s">
        <v>154</v>
      </c>
      <c r="B55" s="118">
        <f>IF($A55="","",'Situfin serie mensual'!JR52)</f>
        <v>529.64589709500001</v>
      </c>
      <c r="C55" s="118">
        <f>IF($A55="","",'Situfin serie mensual'!JS52)</f>
        <v>441.36745580699994</v>
      </c>
      <c r="D55" s="118">
        <f>IF($A55="","",'Situfin serie mensual'!JT52)</f>
        <v>0</v>
      </c>
      <c r="E55" s="118">
        <f>IF($A55="","",'Situfin serie mensual'!JU52)</f>
        <v>0</v>
      </c>
      <c r="F55" s="118">
        <f>IF($A55="","",'Situfin serie mensual'!JV52)</f>
        <v>0</v>
      </c>
      <c r="G55" s="118">
        <f>IF($A55="","",'Situfin serie mensual'!JW52)</f>
        <v>0</v>
      </c>
      <c r="H55" s="118">
        <f>IF($A55="","",'Situfin serie mensual'!JX52)</f>
        <v>0</v>
      </c>
      <c r="I55" s="118">
        <f>IF($A55="","",'Situfin serie mensual'!JY52)</f>
        <v>0</v>
      </c>
      <c r="J55" s="118">
        <f>IF($A55="","",'Situfin serie mensual'!JZ52)</f>
        <v>0</v>
      </c>
      <c r="K55" s="118">
        <f>IF($A55="","",'Situfin serie mensual'!KA52)</f>
        <v>0</v>
      </c>
      <c r="L55" s="118">
        <f>IF($A55="","",'Situfin serie mensual'!KB52)</f>
        <v>0</v>
      </c>
      <c r="M55" s="118">
        <f>IF($A55="","",'Situfin serie mensual'!KC52)</f>
        <v>0</v>
      </c>
      <c r="N55" s="118">
        <f t="shared" si="1"/>
        <v>971.01335290199995</v>
      </c>
      <c r="O55" s="10"/>
      <c r="P55" s="10"/>
    </row>
    <row r="56" spans="1:16" s="119" customFormat="1" ht="13">
      <c r="A56" s="13" t="s">
        <v>13</v>
      </c>
      <c r="B56" s="118">
        <f>IF($A56="","",'Situfin serie mensual'!JR53)</f>
        <v>409.15326358499999</v>
      </c>
      <c r="C56" s="118">
        <f>IF($A56="","",'Situfin serie mensual'!JS53)</f>
        <v>362.81949112999996</v>
      </c>
      <c r="D56" s="118">
        <f>IF($A56="","",'Situfin serie mensual'!JT53)</f>
        <v>0</v>
      </c>
      <c r="E56" s="118">
        <f>IF($A56="","",'Situfin serie mensual'!JU53)</f>
        <v>0</v>
      </c>
      <c r="F56" s="118">
        <f>IF($A56="","",'Situfin serie mensual'!JV53)</f>
        <v>0</v>
      </c>
      <c r="G56" s="118">
        <f>IF($A56="","",'Situfin serie mensual'!JW53)</f>
        <v>0</v>
      </c>
      <c r="H56" s="118">
        <f>IF($A56="","",'Situfin serie mensual'!JX53)</f>
        <v>0</v>
      </c>
      <c r="I56" s="118">
        <f>IF($A56="","",'Situfin serie mensual'!JY53)</f>
        <v>0</v>
      </c>
      <c r="J56" s="118">
        <f>IF($A56="","",'Situfin serie mensual'!JZ53)</f>
        <v>0</v>
      </c>
      <c r="K56" s="118">
        <f>IF($A56="","",'Situfin serie mensual'!KA53)</f>
        <v>0</v>
      </c>
      <c r="L56" s="118">
        <f>IF($A56="","",'Situfin serie mensual'!KB53)</f>
        <v>0</v>
      </c>
      <c r="M56" s="118">
        <f>IF($A56="","",'Situfin serie mensual'!KC53)</f>
        <v>0</v>
      </c>
      <c r="N56" s="118">
        <f t="shared" si="1"/>
        <v>771.97275471499995</v>
      </c>
      <c r="O56" s="10"/>
      <c r="P56" s="10"/>
    </row>
    <row r="57" spans="1:16" s="119" customFormat="1" ht="13">
      <c r="A57" s="13" t="s">
        <v>14</v>
      </c>
      <c r="B57" s="118">
        <f>IF($A57="","",'Situfin serie mensual'!JR54)</f>
        <v>120.49263351</v>
      </c>
      <c r="C57" s="118">
        <f>IF($A57="","",'Situfin serie mensual'!JS54)</f>
        <v>78.54796467700001</v>
      </c>
      <c r="D57" s="118">
        <f>IF($A57="","",'Situfin serie mensual'!JT54)</f>
        <v>0</v>
      </c>
      <c r="E57" s="118">
        <f>IF($A57="","",'Situfin serie mensual'!JU54)</f>
        <v>0</v>
      </c>
      <c r="F57" s="118">
        <f>IF($A57="","",'Situfin serie mensual'!JV54)</f>
        <v>0</v>
      </c>
      <c r="G57" s="118">
        <f>IF($A57="","",'Situfin serie mensual'!JW54)</f>
        <v>0</v>
      </c>
      <c r="H57" s="118">
        <f>IF($A57="","",'Situfin serie mensual'!JX54)</f>
        <v>0</v>
      </c>
      <c r="I57" s="118">
        <f>IF($A57="","",'Situfin serie mensual'!JY54)</f>
        <v>0</v>
      </c>
      <c r="J57" s="118">
        <f>IF($A57="","",'Situfin serie mensual'!JZ54)</f>
        <v>0</v>
      </c>
      <c r="K57" s="118">
        <f>IF($A57="","",'Situfin serie mensual'!KA54)</f>
        <v>0</v>
      </c>
      <c r="L57" s="118">
        <f>IF($A57="","",'Situfin serie mensual'!KB54)</f>
        <v>0</v>
      </c>
      <c r="M57" s="118">
        <f>IF($A57="","",'Situfin serie mensual'!KC54)</f>
        <v>0</v>
      </c>
      <c r="N57" s="118">
        <f t="shared" si="1"/>
        <v>199.040598187</v>
      </c>
      <c r="O57" s="10"/>
      <c r="P57" s="10"/>
    </row>
    <row r="58" spans="1:16" s="119" customFormat="1" ht="13">
      <c r="A58" s="155" t="s">
        <v>35</v>
      </c>
      <c r="B58" s="116">
        <f>IF($A58="","",'Situfin serie mensual'!JR55)</f>
        <v>930.92449418600006</v>
      </c>
      <c r="C58" s="116">
        <f>IF($A58="","",'Situfin serie mensual'!JS55)</f>
        <v>984.76654522299998</v>
      </c>
      <c r="D58" s="116">
        <f>IF($A58="","",'Situfin serie mensual'!JT55)</f>
        <v>0</v>
      </c>
      <c r="E58" s="116">
        <f>IF($A58="","",'Situfin serie mensual'!JU55)</f>
        <v>0</v>
      </c>
      <c r="F58" s="116">
        <f>IF($A58="","",'Situfin serie mensual'!JV55)</f>
        <v>0</v>
      </c>
      <c r="G58" s="116">
        <f>IF($A58="","",'Situfin serie mensual'!JW55)</f>
        <v>0</v>
      </c>
      <c r="H58" s="116">
        <f>IF($A58="","",'Situfin serie mensual'!JX55)</f>
        <v>0</v>
      </c>
      <c r="I58" s="116">
        <f>IF($A58="","",'Situfin serie mensual'!JY55)</f>
        <v>0</v>
      </c>
      <c r="J58" s="116">
        <f>IF($A58="","",'Situfin serie mensual'!JZ55)</f>
        <v>0</v>
      </c>
      <c r="K58" s="116">
        <f>IF($A58="","",'Situfin serie mensual'!KA55)</f>
        <v>0</v>
      </c>
      <c r="L58" s="116">
        <f>IF($A58="","",'Situfin serie mensual'!KB55)</f>
        <v>0</v>
      </c>
      <c r="M58" s="116">
        <f>IF($A58="","",'Situfin serie mensual'!KC55)</f>
        <v>0</v>
      </c>
      <c r="N58" s="116">
        <f t="shared" si="1"/>
        <v>1915.691039409</v>
      </c>
      <c r="O58" s="10"/>
      <c r="P58" s="10"/>
    </row>
    <row r="59" spans="1:16" s="119" customFormat="1" ht="13">
      <c r="A59" s="31" t="s">
        <v>36</v>
      </c>
      <c r="B59" s="118">
        <f>IF($A59="","",'Situfin serie mensual'!JR56)</f>
        <v>500.20912359900007</v>
      </c>
      <c r="C59" s="118">
        <f>IF($A59="","",'Situfin serie mensual'!JS56)</f>
        <v>533.73976499699995</v>
      </c>
      <c r="D59" s="118">
        <f>IF($A59="","",'Situfin serie mensual'!JT56)</f>
        <v>0</v>
      </c>
      <c r="E59" s="118">
        <f>IF($A59="","",'Situfin serie mensual'!JU56)</f>
        <v>0</v>
      </c>
      <c r="F59" s="118">
        <f>IF($A59="","",'Situfin serie mensual'!JV56)</f>
        <v>0</v>
      </c>
      <c r="G59" s="118">
        <f>IF($A59="","",'Situfin serie mensual'!JW56)</f>
        <v>0</v>
      </c>
      <c r="H59" s="118">
        <f>IF($A59="","",'Situfin serie mensual'!JX56)</f>
        <v>0</v>
      </c>
      <c r="I59" s="118">
        <f>IF($A59="","",'Situfin serie mensual'!JY56)</f>
        <v>0</v>
      </c>
      <c r="J59" s="118">
        <f>IF($A59="","",'Situfin serie mensual'!JZ56)</f>
        <v>0</v>
      </c>
      <c r="K59" s="118">
        <f>IF($A59="","",'Situfin serie mensual'!KA56)</f>
        <v>0</v>
      </c>
      <c r="L59" s="118">
        <f>IF($A59="","",'Situfin serie mensual'!KB56)</f>
        <v>0</v>
      </c>
      <c r="M59" s="118">
        <f>IF($A59="","",'Situfin serie mensual'!KC56)</f>
        <v>0</v>
      </c>
      <c r="N59" s="118">
        <f t="shared" si="1"/>
        <v>1033.948888596</v>
      </c>
      <c r="O59" s="10"/>
      <c r="P59" s="10"/>
    </row>
    <row r="60" spans="1:16" s="119" customFormat="1" ht="13">
      <c r="A60" s="31" t="s">
        <v>37</v>
      </c>
      <c r="B60" s="118">
        <f>IF($A60="","",'Situfin serie mensual'!JR57)</f>
        <v>407.13821239999999</v>
      </c>
      <c r="C60" s="118">
        <f>IF($A60="","",'Situfin serie mensual'!JS57)</f>
        <v>414.27148778399999</v>
      </c>
      <c r="D60" s="118">
        <f>IF($A60="","",'Situfin serie mensual'!JT57)</f>
        <v>0</v>
      </c>
      <c r="E60" s="118">
        <f>IF($A60="","",'Situfin serie mensual'!JU57)</f>
        <v>0</v>
      </c>
      <c r="F60" s="118">
        <f>IF($A60="","",'Situfin serie mensual'!JV57)</f>
        <v>0</v>
      </c>
      <c r="G60" s="118">
        <f>IF($A60="","",'Situfin serie mensual'!JW57)</f>
        <v>0</v>
      </c>
      <c r="H60" s="118">
        <f>IF($A60="","",'Situfin serie mensual'!JX57)</f>
        <v>0</v>
      </c>
      <c r="I60" s="118">
        <f>IF($A60="","",'Situfin serie mensual'!JY57)</f>
        <v>0</v>
      </c>
      <c r="J60" s="118">
        <f>IF($A60="","",'Situfin serie mensual'!JZ57)</f>
        <v>0</v>
      </c>
      <c r="K60" s="118">
        <f>IF($A60="","",'Situfin serie mensual'!KA57)</f>
        <v>0</v>
      </c>
      <c r="L60" s="118">
        <f>IF($A60="","",'Situfin serie mensual'!KB57)</f>
        <v>0</v>
      </c>
      <c r="M60" s="118">
        <f>IF($A60="","",'Situfin serie mensual'!KC57)</f>
        <v>0</v>
      </c>
      <c r="N60" s="118">
        <f t="shared" si="1"/>
        <v>821.40970018400003</v>
      </c>
      <c r="O60" s="10"/>
      <c r="P60" s="10"/>
    </row>
    <row r="61" spans="1:16" s="119" customFormat="1" ht="13">
      <c r="A61" s="31" t="s">
        <v>38</v>
      </c>
      <c r="B61" s="118">
        <f>IF($A61="","",'Situfin serie mensual'!JR58)</f>
        <v>23.577158187000002</v>
      </c>
      <c r="C61" s="118">
        <f>IF($A61="","",'Situfin serie mensual'!JS58)</f>
        <v>36.755292441999998</v>
      </c>
      <c r="D61" s="118">
        <f>IF($A61="","",'Situfin serie mensual'!JT58)</f>
        <v>0</v>
      </c>
      <c r="E61" s="118">
        <f>IF($A61="","",'Situfin serie mensual'!JU58)</f>
        <v>0</v>
      </c>
      <c r="F61" s="118">
        <f>IF($A61="","",'Situfin serie mensual'!JV58)</f>
        <v>0</v>
      </c>
      <c r="G61" s="118">
        <f>IF($A61="","",'Situfin serie mensual'!JW58)</f>
        <v>0</v>
      </c>
      <c r="H61" s="118">
        <f>IF($A61="","",'Situfin serie mensual'!JX58)</f>
        <v>0</v>
      </c>
      <c r="I61" s="118">
        <f>IF($A61="","",'Situfin serie mensual'!JY58)</f>
        <v>0</v>
      </c>
      <c r="J61" s="118">
        <f>IF($A61="","",'Situfin serie mensual'!JZ58)</f>
        <v>0</v>
      </c>
      <c r="K61" s="118">
        <f>IF($A61="","",'Situfin serie mensual'!KA58)</f>
        <v>0</v>
      </c>
      <c r="L61" s="118">
        <f>IF($A61="","",'Situfin serie mensual'!KB58)</f>
        <v>0</v>
      </c>
      <c r="M61" s="118">
        <f>IF($A61="","",'Situfin serie mensual'!KC58)</f>
        <v>0</v>
      </c>
      <c r="N61" s="118">
        <f t="shared" si="1"/>
        <v>60.332450629</v>
      </c>
      <c r="O61" s="10"/>
      <c r="P61" s="10"/>
    </row>
    <row r="62" spans="1:16" s="119" customFormat="1" ht="13">
      <c r="A62" s="155" t="s">
        <v>39</v>
      </c>
      <c r="B62" s="116">
        <f>IF($A62="","",'Situfin serie mensual'!JR59)</f>
        <v>87.110721589999997</v>
      </c>
      <c r="C62" s="116">
        <f>IF($A62="","",'Situfin serie mensual'!JS59)</f>
        <v>93.535905581999984</v>
      </c>
      <c r="D62" s="116">
        <f>IF($A62="","",'Situfin serie mensual'!JT59)</f>
        <v>0</v>
      </c>
      <c r="E62" s="116">
        <f>IF($A62="","",'Situfin serie mensual'!JU59)</f>
        <v>0</v>
      </c>
      <c r="F62" s="116">
        <f>IF($A62="","",'Situfin serie mensual'!JV59)</f>
        <v>0</v>
      </c>
      <c r="G62" s="116">
        <f>IF($A62="","",'Situfin serie mensual'!JW59)</f>
        <v>0</v>
      </c>
      <c r="H62" s="116">
        <f>IF($A62="","",'Situfin serie mensual'!JX59)</f>
        <v>0</v>
      </c>
      <c r="I62" s="116">
        <f>IF($A62="","",'Situfin serie mensual'!JY59)</f>
        <v>0</v>
      </c>
      <c r="J62" s="116">
        <f>IF($A62="","",'Situfin serie mensual'!JZ59)</f>
        <v>0</v>
      </c>
      <c r="K62" s="116">
        <f>IF($A62="","",'Situfin serie mensual'!KA59)</f>
        <v>0</v>
      </c>
      <c r="L62" s="116">
        <f>IF($A62="","",'Situfin serie mensual'!KB59)</f>
        <v>0</v>
      </c>
      <c r="M62" s="116">
        <f>IF($A62="","",'Situfin serie mensual'!KC59)</f>
        <v>0</v>
      </c>
      <c r="N62" s="116">
        <f t="shared" si="1"/>
        <v>180.64662717199997</v>
      </c>
      <c r="O62" s="10"/>
      <c r="P62" s="10"/>
    </row>
    <row r="63" spans="1:16" s="119" customFormat="1" ht="13">
      <c r="A63" s="13" t="s">
        <v>40</v>
      </c>
      <c r="B63" s="118">
        <f>IF($A63="","",'Situfin serie mensual'!JR60)</f>
        <v>13.094935425999999</v>
      </c>
      <c r="C63" s="118">
        <f>IF($A63="","",'Situfin serie mensual'!JS60)</f>
        <v>13.826270913999997</v>
      </c>
      <c r="D63" s="118">
        <f>IF($A63="","",'Situfin serie mensual'!JT60)</f>
        <v>0</v>
      </c>
      <c r="E63" s="118">
        <f>IF($A63="","",'Situfin serie mensual'!JU60)</f>
        <v>0</v>
      </c>
      <c r="F63" s="118">
        <f>IF($A63="","",'Situfin serie mensual'!JV60)</f>
        <v>0</v>
      </c>
      <c r="G63" s="118">
        <f>IF($A63="","",'Situfin serie mensual'!JW60)</f>
        <v>0</v>
      </c>
      <c r="H63" s="118">
        <f>IF($A63="","",'Situfin serie mensual'!JX60)</f>
        <v>0</v>
      </c>
      <c r="I63" s="118">
        <f>IF($A63="","",'Situfin serie mensual'!JY60)</f>
        <v>0</v>
      </c>
      <c r="J63" s="118">
        <f>IF($A63="","",'Situfin serie mensual'!JZ60)</f>
        <v>0</v>
      </c>
      <c r="K63" s="118">
        <f>IF($A63="","",'Situfin serie mensual'!KA60)</f>
        <v>0</v>
      </c>
      <c r="L63" s="118">
        <f>IF($A63="","",'Situfin serie mensual'!KB60)</f>
        <v>0</v>
      </c>
      <c r="M63" s="118">
        <f>IF($A63="","",'Situfin serie mensual'!KC60)</f>
        <v>0</v>
      </c>
      <c r="N63" s="118">
        <f t="shared" si="1"/>
        <v>26.921206339999998</v>
      </c>
      <c r="O63" s="10"/>
      <c r="P63" s="10"/>
    </row>
    <row r="64" spans="1:16" s="119" customFormat="1" ht="13" hidden="1">
      <c r="A64" s="33" t="s">
        <v>41</v>
      </c>
      <c r="B64" s="118">
        <f>IF($A64="","",'Situfin serie mensual'!JR61)</f>
        <v>3.693461992</v>
      </c>
      <c r="C64" s="118">
        <f>IF($A64="","",'Situfin serie mensual'!JS61)</f>
        <v>1.3</v>
      </c>
      <c r="D64" s="118">
        <f>IF($A64="","",'Situfin serie mensual'!JT61)</f>
        <v>0</v>
      </c>
      <c r="E64" s="118">
        <f>IF($A64="","",'Situfin serie mensual'!JU61)</f>
        <v>0</v>
      </c>
      <c r="F64" s="118">
        <f>IF($A64="","",'Situfin serie mensual'!JV61)</f>
        <v>0</v>
      </c>
      <c r="G64" s="118">
        <f>IF($A64="","",'Situfin serie mensual'!JW61)</f>
        <v>0</v>
      </c>
      <c r="H64" s="118">
        <f>IF($A64="","",'Situfin serie mensual'!JX61)</f>
        <v>0</v>
      </c>
      <c r="I64" s="118">
        <f>IF($A64="","",'Situfin serie mensual'!JY61)</f>
        <v>0</v>
      </c>
      <c r="J64" s="118">
        <f>IF($A64="","",'Situfin serie mensual'!JZ61)</f>
        <v>0</v>
      </c>
      <c r="K64" s="118">
        <f>IF($A64="","",'Situfin serie mensual'!KA61)</f>
        <v>0</v>
      </c>
      <c r="L64" s="118">
        <f>IF($A64="","",'Situfin serie mensual'!KB61)</f>
        <v>0</v>
      </c>
      <c r="M64" s="118">
        <f>IF($A64="","",'Situfin serie mensual'!KC61)</f>
        <v>0</v>
      </c>
      <c r="N64" s="118">
        <f t="shared" si="1"/>
        <v>4.9934619920000003</v>
      </c>
      <c r="O64" s="10"/>
      <c r="P64" s="10"/>
    </row>
    <row r="65" spans="1:18" s="119" customFormat="1" ht="13" hidden="1">
      <c r="A65" s="33" t="s">
        <v>42</v>
      </c>
      <c r="B65" s="118">
        <f>IF($A65="","",'Situfin serie mensual'!JR62)</f>
        <v>1.5340776789999999</v>
      </c>
      <c r="C65" s="118">
        <f>IF($A65="","",'Situfin serie mensual'!JS62)</f>
        <v>3.1404271099999983</v>
      </c>
      <c r="D65" s="118">
        <f>IF($A65="","",'Situfin serie mensual'!JT62)</f>
        <v>0</v>
      </c>
      <c r="E65" s="118">
        <f>IF($A65="","",'Situfin serie mensual'!JU62)</f>
        <v>0</v>
      </c>
      <c r="F65" s="118">
        <f>IF($A65="","",'Situfin serie mensual'!JV62)</f>
        <v>0</v>
      </c>
      <c r="G65" s="118">
        <f>IF($A65="","",'Situfin serie mensual'!JW62)</f>
        <v>0</v>
      </c>
      <c r="H65" s="118">
        <f>IF($A65="","",'Situfin serie mensual'!JX62)</f>
        <v>0</v>
      </c>
      <c r="I65" s="118">
        <f>IF($A65="","",'Situfin serie mensual'!JY62)</f>
        <v>0</v>
      </c>
      <c r="J65" s="118">
        <f>IF($A65="","",'Situfin serie mensual'!JZ62)</f>
        <v>0</v>
      </c>
      <c r="K65" s="118">
        <f>IF($A65="","",'Situfin serie mensual'!KA62)</f>
        <v>0</v>
      </c>
      <c r="L65" s="118">
        <f>IF($A65="","",'Situfin serie mensual'!KB62)</f>
        <v>0</v>
      </c>
      <c r="M65" s="118">
        <f>IF($A65="","",'Situfin serie mensual'!KC62)</f>
        <v>0</v>
      </c>
      <c r="N65" s="118">
        <f t="shared" si="1"/>
        <v>4.6745047889999984</v>
      </c>
      <c r="O65" s="10"/>
      <c r="P65" s="10"/>
    </row>
    <row r="66" spans="1:18" s="119" customFormat="1" ht="26" hidden="1">
      <c r="A66" s="33" t="s">
        <v>43</v>
      </c>
      <c r="B66" s="118">
        <f>IF($A66="","",'Situfin serie mensual'!JR63)</f>
        <v>1.35E-2</v>
      </c>
      <c r="C66" s="118">
        <f>IF($A66="","",'Situfin serie mensual'!JS63)</f>
        <v>4.0849999999999991</v>
      </c>
      <c r="D66" s="118">
        <f>IF($A66="","",'Situfin serie mensual'!JT63)</f>
        <v>0</v>
      </c>
      <c r="E66" s="118">
        <f>IF($A66="","",'Situfin serie mensual'!JU63)</f>
        <v>0</v>
      </c>
      <c r="F66" s="118">
        <f>IF($A66="","",'Situfin serie mensual'!JV63)</f>
        <v>0</v>
      </c>
      <c r="G66" s="118">
        <f>IF($A66="","",'Situfin serie mensual'!JW63)</f>
        <v>0</v>
      </c>
      <c r="H66" s="118">
        <f>IF($A66="","",'Situfin serie mensual'!JX63)</f>
        <v>0</v>
      </c>
      <c r="I66" s="118">
        <f>IF($A66="","",'Situfin serie mensual'!JY63)</f>
        <v>0</v>
      </c>
      <c r="J66" s="118">
        <f>IF($A66="","",'Situfin serie mensual'!JZ63)</f>
        <v>0</v>
      </c>
      <c r="K66" s="118">
        <f>IF($A66="","",'Situfin serie mensual'!KA63)</f>
        <v>0</v>
      </c>
      <c r="L66" s="118">
        <f>IF($A66="","",'Situfin serie mensual'!KB63)</f>
        <v>0</v>
      </c>
      <c r="M66" s="118">
        <f>IF($A66="","",'Situfin serie mensual'!KC63)</f>
        <v>0</v>
      </c>
      <c r="N66" s="118">
        <f t="shared" si="1"/>
        <v>4.0984999999999987</v>
      </c>
      <c r="O66" s="10"/>
      <c r="P66" s="10"/>
    </row>
    <row r="67" spans="1:18" s="119" customFormat="1" ht="13" hidden="1">
      <c r="A67" s="13" t="s">
        <v>44</v>
      </c>
      <c r="B67" s="118">
        <f>IF($A67="","",'Situfin serie mensual'!JR64)</f>
        <v>3.786395755</v>
      </c>
      <c r="C67" s="118">
        <f>IF($A67="","",'Situfin serie mensual'!JS64)</f>
        <v>2.3803648039999996</v>
      </c>
      <c r="D67" s="118">
        <f>IF($A67="","",'Situfin serie mensual'!JT64)</f>
        <v>0</v>
      </c>
      <c r="E67" s="118">
        <f>IF($A67="","",'Situfin serie mensual'!JU64)</f>
        <v>0</v>
      </c>
      <c r="F67" s="118">
        <f>IF($A67="","",'Situfin serie mensual'!JV64)</f>
        <v>0</v>
      </c>
      <c r="G67" s="118">
        <f>IF($A67="","",'Situfin serie mensual'!JW64)</f>
        <v>0</v>
      </c>
      <c r="H67" s="118">
        <f>IF($A67="","",'Situfin serie mensual'!JX64)</f>
        <v>0</v>
      </c>
      <c r="I67" s="118">
        <f>IF($A67="","",'Situfin serie mensual'!JY64)</f>
        <v>0</v>
      </c>
      <c r="J67" s="118">
        <f>IF($A67="","",'Situfin serie mensual'!JZ64)</f>
        <v>0</v>
      </c>
      <c r="K67" s="118">
        <f>IF($A67="","",'Situfin serie mensual'!KA64)</f>
        <v>0</v>
      </c>
      <c r="L67" s="118">
        <f>IF($A67="","",'Situfin serie mensual'!KB64)</f>
        <v>0</v>
      </c>
      <c r="M67" s="118">
        <f>IF($A67="","",'Situfin serie mensual'!KC64)</f>
        <v>0</v>
      </c>
      <c r="N67" s="118">
        <f t="shared" si="1"/>
        <v>6.1667605590000001</v>
      </c>
      <c r="O67" s="10"/>
      <c r="P67" s="10"/>
    </row>
    <row r="68" spans="1:18" s="119" customFormat="1" ht="13" hidden="1">
      <c r="A68" s="13" t="s">
        <v>45</v>
      </c>
      <c r="B68" s="118">
        <f>IF($A68="","",'Situfin serie mensual'!JR65)</f>
        <v>4.0674999999999999</v>
      </c>
      <c r="C68" s="118">
        <f>IF($A68="","",'Situfin serie mensual'!JS65)</f>
        <v>2.9204789999999998</v>
      </c>
      <c r="D68" s="118">
        <f>IF($A68="","",'Situfin serie mensual'!JT65)</f>
        <v>0</v>
      </c>
      <c r="E68" s="118">
        <f>IF($A68="","",'Situfin serie mensual'!JU65)</f>
        <v>0</v>
      </c>
      <c r="F68" s="118">
        <f>IF($A68="","",'Situfin serie mensual'!JV65)</f>
        <v>0</v>
      </c>
      <c r="G68" s="118">
        <f>IF($A68="","",'Situfin serie mensual'!JW65)</f>
        <v>0</v>
      </c>
      <c r="H68" s="118">
        <f>IF($A68="","",'Situfin serie mensual'!JX65)</f>
        <v>0</v>
      </c>
      <c r="I68" s="118">
        <f>IF($A68="","",'Situfin serie mensual'!JY65)</f>
        <v>0</v>
      </c>
      <c r="J68" s="118">
        <f>IF($A68="","",'Situfin serie mensual'!JZ65)</f>
        <v>0</v>
      </c>
      <c r="K68" s="118">
        <f>IF($A68="","",'Situfin serie mensual'!KA65)</f>
        <v>0</v>
      </c>
      <c r="L68" s="118">
        <f>IF($A68="","",'Situfin serie mensual'!KB65)</f>
        <v>0</v>
      </c>
      <c r="M68" s="118">
        <f>IF($A68="","",'Situfin serie mensual'!KC65)</f>
        <v>0</v>
      </c>
      <c r="N68" s="118">
        <f t="shared" si="1"/>
        <v>6.9879789999999993</v>
      </c>
      <c r="O68" s="10"/>
      <c r="P68" s="10"/>
    </row>
    <row r="69" spans="1:18" s="119" customFormat="1" ht="13">
      <c r="A69" s="13" t="s">
        <v>171</v>
      </c>
      <c r="B69" s="118">
        <f>IF($A69="","",'Situfin serie mensual'!JR66)</f>
        <v>74.015786164000005</v>
      </c>
      <c r="C69" s="118">
        <f>IF($A69="","",'Situfin serie mensual'!JS66)</f>
        <v>79.709634667999993</v>
      </c>
      <c r="D69" s="118">
        <f>IF($A69="","",'Situfin serie mensual'!JT66)</f>
        <v>0</v>
      </c>
      <c r="E69" s="118">
        <f>IF($A69="","",'Situfin serie mensual'!JU66)</f>
        <v>0</v>
      </c>
      <c r="F69" s="118">
        <f>IF($A69="","",'Situfin serie mensual'!JV66)</f>
        <v>0</v>
      </c>
      <c r="G69" s="118">
        <f>IF($A69="","",'Situfin serie mensual'!JW66)</f>
        <v>0</v>
      </c>
      <c r="H69" s="118">
        <f>IF($A69="","",'Situfin serie mensual'!JX66)</f>
        <v>0</v>
      </c>
      <c r="I69" s="118">
        <f>IF($A69="","",'Situfin serie mensual'!JY66)</f>
        <v>0</v>
      </c>
      <c r="J69" s="118">
        <f>IF($A69="","",'Situfin serie mensual'!JZ66)</f>
        <v>0</v>
      </c>
      <c r="K69" s="118">
        <f>IF($A69="","",'Situfin serie mensual'!KA66)</f>
        <v>0</v>
      </c>
      <c r="L69" s="118">
        <f>IF($A69="","",'Situfin serie mensual'!KB66)</f>
        <v>0</v>
      </c>
      <c r="M69" s="118">
        <f>IF($A69="","",'Situfin serie mensual'!KC66)</f>
        <v>0</v>
      </c>
      <c r="N69" s="118">
        <f t="shared" si="1"/>
        <v>153.725420832</v>
      </c>
      <c r="O69" s="10"/>
      <c r="P69" s="10"/>
    </row>
    <row r="70" spans="1:18" s="119" customFormat="1" ht="13" hidden="1">
      <c r="A70" s="13" t="s">
        <v>47</v>
      </c>
      <c r="B70" s="118">
        <f>IF($A70="","",'Situfin serie mensual'!JR67)</f>
        <v>74.015786164000005</v>
      </c>
      <c r="C70" s="118">
        <f>IF($A70="","",'Situfin serie mensual'!JS67)</f>
        <v>51.627481136</v>
      </c>
      <c r="D70" s="118">
        <f>IF($A70="","",'Situfin serie mensual'!JT67)</f>
        <v>0</v>
      </c>
      <c r="E70" s="118">
        <f>IF($A70="","",'Situfin serie mensual'!JU67)</f>
        <v>0</v>
      </c>
      <c r="F70" s="118">
        <f>IF($A70="","",'Situfin serie mensual'!JV67)</f>
        <v>0</v>
      </c>
      <c r="G70" s="118">
        <f>IF($A70="","",'Situfin serie mensual'!JW67)</f>
        <v>0</v>
      </c>
      <c r="H70" s="118">
        <f>IF($A70="","",'Situfin serie mensual'!JX67)</f>
        <v>0</v>
      </c>
      <c r="I70" s="118">
        <f>IF($A70="","",'Situfin serie mensual'!JY67)</f>
        <v>0</v>
      </c>
      <c r="J70" s="118">
        <f>IF($A70="","",'Situfin serie mensual'!JZ67)</f>
        <v>0</v>
      </c>
      <c r="K70" s="118">
        <f>IF($A70="","",'Situfin serie mensual'!KA67)</f>
        <v>0</v>
      </c>
      <c r="L70" s="118">
        <f>IF($A70="","",'Situfin serie mensual'!KB67)</f>
        <v>0</v>
      </c>
      <c r="M70" s="118">
        <f>IF($A70="","",'Situfin serie mensual'!KC67)</f>
        <v>0</v>
      </c>
      <c r="N70" s="118">
        <f t="shared" si="1"/>
        <v>125.64326730000001</v>
      </c>
      <c r="O70" s="10"/>
      <c r="P70" s="10"/>
    </row>
    <row r="71" spans="1:18" s="119" customFormat="1" ht="13" hidden="1">
      <c r="A71" s="13" t="s">
        <v>48</v>
      </c>
      <c r="B71" s="118">
        <f>IF($A71="","",'Situfin serie mensual'!JR68)</f>
        <v>0</v>
      </c>
      <c r="C71" s="118">
        <f>IF($A71="","",'Situfin serie mensual'!JS68)</f>
        <v>0</v>
      </c>
      <c r="D71" s="118">
        <f>IF($A71="","",'Situfin serie mensual'!JT68)</f>
        <v>0</v>
      </c>
      <c r="E71" s="118">
        <f>IF($A71="","",'Situfin serie mensual'!JU68)</f>
        <v>0</v>
      </c>
      <c r="F71" s="118">
        <f>IF($A71="","",'Situfin serie mensual'!JV68)</f>
        <v>0</v>
      </c>
      <c r="G71" s="118">
        <f>IF($A71="","",'Situfin serie mensual'!JW68)</f>
        <v>0</v>
      </c>
      <c r="H71" s="118">
        <f>IF($A71="","",'Situfin serie mensual'!JX68)</f>
        <v>0</v>
      </c>
      <c r="I71" s="118">
        <f>IF($A71="","",'Situfin serie mensual'!JY68)</f>
        <v>0</v>
      </c>
      <c r="J71" s="118">
        <f>IF($A71="","",'Situfin serie mensual'!JZ68)</f>
        <v>0</v>
      </c>
      <c r="K71" s="118">
        <f>IF($A71="","",'Situfin serie mensual'!KA68)</f>
        <v>0</v>
      </c>
      <c r="L71" s="118">
        <f>IF($A71="","",'Situfin serie mensual'!KB68)</f>
        <v>0</v>
      </c>
      <c r="M71" s="118">
        <f>IF($A71="","",'Situfin serie mensual'!KC68)</f>
        <v>0</v>
      </c>
      <c r="N71" s="118">
        <f t="shared" si="1"/>
        <v>0</v>
      </c>
      <c r="O71" s="10"/>
      <c r="P71" s="10"/>
    </row>
    <row r="72" spans="1:18" s="119" customFormat="1" ht="13" hidden="1">
      <c r="A72" s="13" t="s">
        <v>49</v>
      </c>
      <c r="B72" s="118">
        <f>IF($A72="","",'Situfin serie mensual'!JR69)</f>
        <v>0</v>
      </c>
      <c r="C72" s="118">
        <f>IF($A72="","",'Situfin serie mensual'!JS69)</f>
        <v>28.082153532</v>
      </c>
      <c r="D72" s="118">
        <f>IF($A72="","",'Situfin serie mensual'!JT69)</f>
        <v>0</v>
      </c>
      <c r="E72" s="118">
        <f>IF($A72="","",'Situfin serie mensual'!JU69)</f>
        <v>0</v>
      </c>
      <c r="F72" s="118">
        <f>IF($A72="","",'Situfin serie mensual'!JV69)</f>
        <v>0</v>
      </c>
      <c r="G72" s="118">
        <f>IF($A72="","",'Situfin serie mensual'!JW69)</f>
        <v>0</v>
      </c>
      <c r="H72" s="118">
        <f>IF($A72="","",'Situfin serie mensual'!JX69)</f>
        <v>0</v>
      </c>
      <c r="I72" s="118">
        <f>IF($A72="","",'Situfin serie mensual'!JY69)</f>
        <v>0</v>
      </c>
      <c r="J72" s="118">
        <f>IF($A72="","",'Situfin serie mensual'!JZ69)</f>
        <v>0</v>
      </c>
      <c r="K72" s="118">
        <f>IF($A72="","",'Situfin serie mensual'!KA69)</f>
        <v>0</v>
      </c>
      <c r="L72" s="118">
        <f>IF($A72="","",'Situfin serie mensual'!KB69)</f>
        <v>0</v>
      </c>
      <c r="M72" s="118">
        <f>IF($A72="","",'Situfin serie mensual'!KC69)</f>
        <v>0</v>
      </c>
      <c r="N72" s="118">
        <f t="shared" si="1"/>
        <v>28.082153532</v>
      </c>
      <c r="O72" s="10"/>
      <c r="P72" s="10"/>
    </row>
    <row r="73" spans="1:18" s="119" customFormat="1" ht="13">
      <c r="A73" s="13"/>
      <c r="B73" s="118" t="str">
        <f>IF($A73="","",'Situfin serie mensual'!JR70)</f>
        <v/>
      </c>
      <c r="C73" s="118" t="str">
        <f>IF($A73="","",'Situfin serie mensual'!JS70)</f>
        <v/>
      </c>
      <c r="D73" s="118" t="str">
        <f>IF($A73="","",'Situfin serie mensual'!JT70)</f>
        <v/>
      </c>
      <c r="E73" s="118" t="str">
        <f>IF($A73="","",'Situfin serie mensual'!JU70)</f>
        <v/>
      </c>
      <c r="F73" s="118" t="str">
        <f>IF($A73="","",'Situfin serie mensual'!JV70)</f>
        <v/>
      </c>
      <c r="G73" s="118" t="str">
        <f>IF($A73="","",'Situfin serie mensual'!JW70)</f>
        <v/>
      </c>
      <c r="H73" s="118" t="str">
        <f>IF($A73="","",'Situfin serie mensual'!JX70)</f>
        <v/>
      </c>
      <c r="I73" s="118" t="str">
        <f>IF($A73="","",'Situfin serie mensual'!JY70)</f>
        <v/>
      </c>
      <c r="J73" s="118" t="str">
        <f>IF($A73="","",'Situfin serie mensual'!JZ70)</f>
        <v/>
      </c>
      <c r="K73" s="118" t="str">
        <f>IF($A73="","",'Situfin serie mensual'!KA70)</f>
        <v/>
      </c>
      <c r="L73" s="118" t="str">
        <f>IF($A73="","",'Situfin serie mensual'!KB70)</f>
        <v/>
      </c>
      <c r="M73" s="118" t="str">
        <f>IF($A73="","",'Situfin serie mensual'!KC70)</f>
        <v/>
      </c>
      <c r="N73" s="118"/>
      <c r="O73" s="10"/>
      <c r="P73" s="10"/>
    </row>
    <row r="74" spans="1:18" s="119" customFormat="1" ht="13.5">
      <c r="A74" s="125" t="s">
        <v>50</v>
      </c>
      <c r="B74" s="126">
        <f>IF($A74="","",'Situfin serie mensual'!JR71)</f>
        <v>-284.39054779599974</v>
      </c>
      <c r="C74" s="126">
        <f>IF($A74="","",'Situfin serie mensual'!JS71)</f>
        <v>-1102.4755716459999</v>
      </c>
      <c r="D74" s="126">
        <f>IF($A74="","",'Situfin serie mensual'!JT71)</f>
        <v>0</v>
      </c>
      <c r="E74" s="126">
        <f>IF($A74="","",'Situfin serie mensual'!JU71)</f>
        <v>0</v>
      </c>
      <c r="F74" s="126">
        <f>IF($A74="","",'Situfin serie mensual'!JV71)</f>
        <v>0</v>
      </c>
      <c r="G74" s="126">
        <f>IF($A74="","",'Situfin serie mensual'!JW71)</f>
        <v>0</v>
      </c>
      <c r="H74" s="126">
        <f>IF($A74="","",'Situfin serie mensual'!JX71)</f>
        <v>0</v>
      </c>
      <c r="I74" s="126">
        <f>IF($A74="","",'Situfin serie mensual'!JY71)</f>
        <v>0</v>
      </c>
      <c r="J74" s="126">
        <f>IF($A74="","",'Situfin serie mensual'!JZ71)</f>
        <v>0</v>
      </c>
      <c r="K74" s="126">
        <f>IF($A74="","",'Situfin serie mensual'!KA71)</f>
        <v>0</v>
      </c>
      <c r="L74" s="126">
        <f>IF($A74="","",'Situfin serie mensual'!KB71)</f>
        <v>0</v>
      </c>
      <c r="M74" s="126">
        <f>IF($A74="","",'Situfin serie mensual'!KC71)</f>
        <v>0</v>
      </c>
      <c r="N74" s="126">
        <f>+SUM(B74:M74)</f>
        <v>-1386.8661194419997</v>
      </c>
      <c r="O74" s="10"/>
      <c r="P74" s="10"/>
    </row>
    <row r="75" spans="1:18" s="119" customFormat="1" ht="13">
      <c r="A75" s="113"/>
      <c r="B75" s="116" t="str">
        <f>IF($A75="","",'Situfin serie mensual'!JR72)</f>
        <v/>
      </c>
      <c r="C75" s="116" t="str">
        <f>IF($A75="","",'Situfin serie mensual'!JS72)</f>
        <v/>
      </c>
      <c r="D75" s="116" t="str">
        <f>IF($A75="","",'Situfin serie mensual'!JT72)</f>
        <v/>
      </c>
      <c r="E75" s="116" t="str">
        <f>IF($A75="","",'Situfin serie mensual'!JU72)</f>
        <v/>
      </c>
      <c r="F75" s="116" t="str">
        <f>IF($A75="","",'Situfin serie mensual'!JV72)</f>
        <v/>
      </c>
      <c r="G75" s="116" t="str">
        <f>IF($A75="","",'Situfin serie mensual'!JW72)</f>
        <v/>
      </c>
      <c r="H75" s="116" t="str">
        <f>IF($A75="","",'Situfin serie mensual'!JX72)</f>
        <v/>
      </c>
      <c r="I75" s="116" t="str">
        <f>IF($A75="","",'Situfin serie mensual'!JY72)</f>
        <v/>
      </c>
      <c r="J75" s="116" t="str">
        <f>IF($A75="","",'Situfin serie mensual'!JZ72)</f>
        <v/>
      </c>
      <c r="K75" s="116" t="str">
        <f>IF($A75="","",'Situfin serie mensual'!KA72)</f>
        <v/>
      </c>
      <c r="L75" s="116" t="str">
        <f>IF($A75="","",'Situfin serie mensual'!KB72)</f>
        <v/>
      </c>
      <c r="M75" s="116" t="str">
        <f>IF($A75="","",'Situfin serie mensual'!KC72)</f>
        <v/>
      </c>
      <c r="N75" s="122"/>
      <c r="O75" s="10"/>
      <c r="P75" s="10"/>
    </row>
    <row r="76" spans="1:18" s="10" customFormat="1" ht="13">
      <c r="A76" s="113"/>
      <c r="B76" s="122" t="str">
        <f>IF($A76="","",'Situfin serie mensual'!JR73)</f>
        <v/>
      </c>
      <c r="C76" s="122" t="str">
        <f>IF($A76="","",'Situfin serie mensual'!JS73)</f>
        <v/>
      </c>
      <c r="D76" s="122" t="str">
        <f>IF($A76="","",'Situfin serie mensual'!JT73)</f>
        <v/>
      </c>
      <c r="E76" s="122" t="str">
        <f>IF($A76="","",'Situfin serie mensual'!JU73)</f>
        <v/>
      </c>
      <c r="F76" s="122" t="str">
        <f>IF($A76="","",'Situfin serie mensual'!JV73)</f>
        <v/>
      </c>
      <c r="G76" s="122" t="str">
        <f>IF($A76="","",'Situfin serie mensual'!JW73)</f>
        <v/>
      </c>
      <c r="H76" s="122" t="str">
        <f>IF($A76="","",'Situfin serie mensual'!JX73)</f>
        <v/>
      </c>
      <c r="I76" s="122" t="str">
        <f>IF($A76="","",'Situfin serie mensual'!JY73)</f>
        <v/>
      </c>
      <c r="J76" s="122" t="str">
        <f>IF($A76="","",'Situfin serie mensual'!JZ73)</f>
        <v/>
      </c>
      <c r="K76" s="122" t="str">
        <f>IF($A76="","",'Situfin serie mensual'!KA73)</f>
        <v/>
      </c>
      <c r="L76" s="122" t="str">
        <f>IF($A76="","",'Situfin serie mensual'!KB73)</f>
        <v/>
      </c>
      <c r="M76" s="122" t="str">
        <f>IF($A76="","",'Situfin serie mensual'!KC73)</f>
        <v/>
      </c>
      <c r="N76" s="122"/>
      <c r="Q76" s="148"/>
      <c r="R76" s="148"/>
    </row>
    <row r="77" spans="1:18" s="16" customFormat="1" ht="13" outlineLevel="2">
      <c r="A77" s="10" t="s">
        <v>51</v>
      </c>
      <c r="B77" s="116">
        <f>IF($A77="","",'Situfin serie mensual'!JR74)</f>
        <v>347.71265574099999</v>
      </c>
      <c r="C77" s="116">
        <f>IF($A77="","",'Situfin serie mensual'!JS74)</f>
        <v>346.01908041499996</v>
      </c>
      <c r="D77" s="116">
        <f>IF($A77="","",'Situfin serie mensual'!JT74)</f>
        <v>0</v>
      </c>
      <c r="E77" s="116">
        <f>IF($A77="","",'Situfin serie mensual'!JU74)</f>
        <v>0</v>
      </c>
      <c r="F77" s="116">
        <f>IF($A77="","",'Situfin serie mensual'!JV74)</f>
        <v>0</v>
      </c>
      <c r="G77" s="116">
        <f>IF($A77="","",'Situfin serie mensual'!JW74)</f>
        <v>0</v>
      </c>
      <c r="H77" s="116">
        <f>IF($A77="","",'Situfin serie mensual'!JX74)</f>
        <v>0</v>
      </c>
      <c r="I77" s="116">
        <f>IF($A77="","",'Situfin serie mensual'!JY74)</f>
        <v>0</v>
      </c>
      <c r="J77" s="116">
        <f>IF($A77="","",'Situfin serie mensual'!JZ74)</f>
        <v>0</v>
      </c>
      <c r="K77" s="116">
        <f>IF($A77="","",'Situfin serie mensual'!KA74)</f>
        <v>0</v>
      </c>
      <c r="L77" s="116">
        <f>IF($A77="","",'Situfin serie mensual'!KB74)</f>
        <v>0</v>
      </c>
      <c r="M77" s="116">
        <f>IF($A77="","",'Situfin serie mensual'!KC74)</f>
        <v>0</v>
      </c>
      <c r="N77" s="116">
        <f>+SUM(B77:M77)</f>
        <v>693.7317361559999</v>
      </c>
      <c r="O77" s="10"/>
      <c r="P77" s="10"/>
    </row>
    <row r="78" spans="1:18" s="119" customFormat="1" ht="13">
      <c r="A78" s="13" t="s">
        <v>52</v>
      </c>
      <c r="B78" s="118">
        <f>IF($A78="","",'Situfin serie mensual'!JR75)</f>
        <v>337.17888390899998</v>
      </c>
      <c r="C78" s="118">
        <f>IF($A78="","",'Situfin serie mensual'!JS75)</f>
        <v>344.49828841499999</v>
      </c>
      <c r="D78" s="118">
        <f>IF($A78="","",'Situfin serie mensual'!JT75)</f>
        <v>0</v>
      </c>
      <c r="E78" s="118">
        <f>IF($A78="","",'Situfin serie mensual'!JU75)</f>
        <v>0</v>
      </c>
      <c r="F78" s="118">
        <f>IF($A78="","",'Situfin serie mensual'!JV75)</f>
        <v>0</v>
      </c>
      <c r="G78" s="118">
        <f>IF($A78="","",'Situfin serie mensual'!JW75)</f>
        <v>0</v>
      </c>
      <c r="H78" s="118">
        <f>IF($A78="","",'Situfin serie mensual'!JX75)</f>
        <v>0</v>
      </c>
      <c r="I78" s="118">
        <f>IF($A78="","",'Situfin serie mensual'!JY75)</f>
        <v>0</v>
      </c>
      <c r="J78" s="118">
        <f>IF($A78="","",'Situfin serie mensual'!JZ75)</f>
        <v>0</v>
      </c>
      <c r="K78" s="118">
        <f>IF($A78="","",'Situfin serie mensual'!KA75)</f>
        <v>0</v>
      </c>
      <c r="L78" s="118">
        <f>IF($A78="","",'Situfin serie mensual'!KB75)</f>
        <v>0</v>
      </c>
      <c r="M78" s="118">
        <f>IF($A78="","",'Situfin serie mensual'!KC75)</f>
        <v>0</v>
      </c>
      <c r="N78" s="118">
        <f>+SUM(B78:M78)</f>
        <v>681.67717232399991</v>
      </c>
      <c r="O78" s="10"/>
      <c r="P78" s="10"/>
      <c r="Q78" s="149"/>
      <c r="R78" s="149"/>
    </row>
    <row r="79" spans="1:18" s="119" customFormat="1" ht="13">
      <c r="A79" s="13" t="s">
        <v>53</v>
      </c>
      <c r="B79" s="118">
        <f>IF($A79="","",'Situfin serie mensual'!JR76)</f>
        <v>10.533771831999999</v>
      </c>
      <c r="C79" s="118">
        <f>IF($A79="","",'Situfin serie mensual'!JS76)</f>
        <v>1.5207919999999999</v>
      </c>
      <c r="D79" s="118">
        <f>IF($A79="","",'Situfin serie mensual'!JT76)</f>
        <v>0</v>
      </c>
      <c r="E79" s="118">
        <f>IF($A79="","",'Situfin serie mensual'!JU76)</f>
        <v>0</v>
      </c>
      <c r="F79" s="118">
        <f>IF($A79="","",'Situfin serie mensual'!JV76)</f>
        <v>0</v>
      </c>
      <c r="G79" s="118">
        <f>IF($A79="","",'Situfin serie mensual'!JW76)</f>
        <v>0</v>
      </c>
      <c r="H79" s="118">
        <f>IF($A79="","",'Situfin serie mensual'!JX76)</f>
        <v>0</v>
      </c>
      <c r="I79" s="118">
        <f>IF($A79="","",'Situfin serie mensual'!JY76)</f>
        <v>0</v>
      </c>
      <c r="J79" s="118">
        <f>IF($A79="","",'Situfin serie mensual'!JZ76)</f>
        <v>0</v>
      </c>
      <c r="K79" s="118">
        <f>IF($A79="","",'Situfin serie mensual'!KA76)</f>
        <v>0</v>
      </c>
      <c r="L79" s="118">
        <f>IF($A79="","",'Situfin serie mensual'!KB76)</f>
        <v>0</v>
      </c>
      <c r="M79" s="118">
        <f>IF($A79="","",'Situfin serie mensual'!KC76)</f>
        <v>0</v>
      </c>
      <c r="N79" s="118">
        <f>+SUM(B79:M79)</f>
        <v>12.054563831999999</v>
      </c>
      <c r="O79" s="10"/>
      <c r="P79" s="10"/>
      <c r="Q79" s="130"/>
      <c r="R79" s="130"/>
    </row>
    <row r="80" spans="1:18" s="119" customFormat="1" ht="13">
      <c r="A80" s="13" t="s">
        <v>155</v>
      </c>
      <c r="B80" s="118">
        <f>IF($A80="","",'Situfin serie mensual'!JR77)</f>
        <v>0</v>
      </c>
      <c r="C80" s="118">
        <f>IF($A80="","",'Situfin serie mensual'!JS77)</f>
        <v>0</v>
      </c>
      <c r="D80" s="118">
        <f>IF($A80="","",'Situfin serie mensual'!JT77)</f>
        <v>0</v>
      </c>
      <c r="E80" s="118">
        <f>IF($A80="","",'Situfin serie mensual'!JU77)</f>
        <v>0</v>
      </c>
      <c r="F80" s="118">
        <f>IF($A80="","",'Situfin serie mensual'!JV77)</f>
        <v>0</v>
      </c>
      <c r="G80" s="118">
        <f>IF($A80="","",'Situfin serie mensual'!JW77)</f>
        <v>0</v>
      </c>
      <c r="H80" s="118">
        <f>IF($A80="","",'Situfin serie mensual'!JX77)</f>
        <v>0</v>
      </c>
      <c r="I80" s="118">
        <f>IF($A80="","",'Situfin serie mensual'!JY77)</f>
        <v>0</v>
      </c>
      <c r="J80" s="118">
        <f>IF($A80="","",'Situfin serie mensual'!JZ77)</f>
        <v>0</v>
      </c>
      <c r="K80" s="118">
        <f>IF($A80="","",'Situfin serie mensual'!KA77)</f>
        <v>0</v>
      </c>
      <c r="L80" s="118">
        <f>IF($A80="","",'Situfin serie mensual'!KB77)</f>
        <v>0</v>
      </c>
      <c r="M80" s="118">
        <f>IF($A80="","",'Situfin serie mensual'!KC77)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>
      <c r="A81" s="150" t="s">
        <v>55</v>
      </c>
      <c r="B81" s="131">
        <f>IF($A81="","",'Situfin serie mensual'!JR78)</f>
        <v>-632.10320353699967</v>
      </c>
      <c r="C81" s="131">
        <f>IF($A81="","",'Situfin serie mensual'!JS78)</f>
        <v>-1448.4946520609999</v>
      </c>
      <c r="D81" s="131">
        <f>IF($A81="","",'Situfin serie mensual'!JT78)</f>
        <v>0</v>
      </c>
      <c r="E81" s="131">
        <f>IF($A81="","",'Situfin serie mensual'!JU78)</f>
        <v>0</v>
      </c>
      <c r="F81" s="131">
        <f>IF($A81="","",'Situfin serie mensual'!JV78)</f>
        <v>0</v>
      </c>
      <c r="G81" s="131">
        <f>IF($A81="","",'Situfin serie mensual'!JW78)</f>
        <v>0</v>
      </c>
      <c r="H81" s="131">
        <f>IF($A81="","",'Situfin serie mensual'!JX78)</f>
        <v>0</v>
      </c>
      <c r="I81" s="131">
        <f>IF($A81="","",'Situfin serie mensual'!JY78)</f>
        <v>0</v>
      </c>
      <c r="J81" s="131">
        <f>IF($A81="","",'Situfin serie mensual'!JZ78)</f>
        <v>0</v>
      </c>
      <c r="K81" s="131">
        <f>IF($A81="","",'Situfin serie mensual'!KA78)</f>
        <v>0</v>
      </c>
      <c r="L81" s="131">
        <f>IF($A81="","",'Situfin serie mensual'!KB78)</f>
        <v>0</v>
      </c>
      <c r="M81" s="131">
        <f>IF($A81="","",'Situfin serie mensual'!KC78)</f>
        <v>0</v>
      </c>
      <c r="N81" s="131">
        <f>+SUM(B81:M81)</f>
        <v>-2080.5978555979996</v>
      </c>
      <c r="O81" s="151"/>
      <c r="P81" s="10"/>
      <c r="Q81" s="10"/>
    </row>
    <row r="82" spans="1:17" s="119" customFormat="1" ht="13">
      <c r="A82" s="13"/>
      <c r="B82" s="118" t="str">
        <f>IF($A82="","",'Situfin serie mensual'!JR79)</f>
        <v/>
      </c>
      <c r="C82" s="118" t="str">
        <f>IF($A82="","",'Situfin serie mensual'!JS79)</f>
        <v/>
      </c>
      <c r="D82" s="118" t="str">
        <f>IF($A82="","",'Situfin serie mensual'!JT79)</f>
        <v/>
      </c>
      <c r="E82" s="118" t="str">
        <f>IF($A82="","",'Situfin serie mensual'!JU79)</f>
        <v/>
      </c>
      <c r="F82" s="118" t="str">
        <f>IF($A82="","",'Situfin serie mensual'!JV79)</f>
        <v/>
      </c>
      <c r="G82" s="118" t="str">
        <f>IF($A82="","",'Situfin serie mensual'!JW79)</f>
        <v/>
      </c>
      <c r="H82" s="118" t="str">
        <f>IF($A82="","",'Situfin serie mensual'!JX79)</f>
        <v/>
      </c>
      <c r="I82" s="118" t="str">
        <f>IF($A82="","",'Situfin serie mensual'!JY79)</f>
        <v/>
      </c>
      <c r="J82" s="118" t="str">
        <f>IF($A82="","",'Situfin serie mensual'!JZ79)</f>
        <v/>
      </c>
      <c r="K82" s="118" t="str">
        <f>IF($A82="","",'Situfin serie mensual'!KA79)</f>
        <v/>
      </c>
      <c r="L82" s="118" t="str">
        <f>IF($A82="","",'Situfin serie mensual'!KB79)</f>
        <v/>
      </c>
      <c r="M82" s="118" t="str">
        <f>IF($A82="","",'Situfin serie mensual'!KC79)</f>
        <v/>
      </c>
      <c r="N82" s="118"/>
      <c r="O82" s="10"/>
      <c r="P82" s="10"/>
    </row>
    <row r="83" spans="1:17" s="119" customFormat="1" ht="13">
      <c r="A83" s="152" t="s">
        <v>156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3">
      <c r="A84" s="10"/>
      <c r="B84" s="118" t="str">
        <f>IF($A84="","",'Situfin serie mensual'!JR81)</f>
        <v/>
      </c>
      <c r="C84" s="118" t="str">
        <f>IF($A84="","",'Situfin serie mensual'!JS81)</f>
        <v/>
      </c>
      <c r="D84" s="118" t="str">
        <f>IF($A84="","",'Situfin serie mensual'!JT81)</f>
        <v/>
      </c>
      <c r="E84" s="118" t="str">
        <f>IF($A84="","",'Situfin serie mensual'!JU81)</f>
        <v/>
      </c>
      <c r="F84" s="118" t="str">
        <f>IF($A84="","",'Situfin serie mensual'!JV81)</f>
        <v/>
      </c>
      <c r="G84" s="118" t="str">
        <f>IF($A84="","",'Situfin serie mensual'!JW81)</f>
        <v/>
      </c>
      <c r="H84" s="118" t="str">
        <f>IF($A84="","",'Situfin serie mensual'!JX81)</f>
        <v/>
      </c>
      <c r="I84" s="118" t="str">
        <f>IF($A84="","",'Situfin serie mensual'!JY81)</f>
        <v/>
      </c>
      <c r="J84" s="118" t="str">
        <f>IF($A84="","",'Situfin serie mensual'!JZ81)</f>
        <v/>
      </c>
      <c r="K84" s="118" t="str">
        <f>IF($A84="","",'Situfin serie mensual'!KA81)</f>
        <v/>
      </c>
      <c r="L84" s="118" t="str">
        <f>IF($A84="","",'Situfin serie mensual'!KB81)</f>
        <v/>
      </c>
      <c r="M84" s="118" t="str">
        <f>IF($A84="","",'Situfin serie mensual'!KC81)</f>
        <v/>
      </c>
      <c r="N84" s="116"/>
      <c r="O84" s="10"/>
      <c r="P84" s="10"/>
    </row>
    <row r="85" spans="1:17" s="16" customFormat="1" ht="13" outlineLevel="2">
      <c r="A85" s="10" t="s">
        <v>56</v>
      </c>
      <c r="B85" s="116">
        <f>IF($A85="","",'Situfin serie mensual'!JR82)</f>
        <v>3620.2416423312484</v>
      </c>
      <c r="C85" s="116">
        <f>IF($A85="","",'Situfin serie mensual'!JS82)</f>
        <v>345.25612369600003</v>
      </c>
      <c r="D85" s="116">
        <f>IF($A85="","",'Situfin serie mensual'!JT82)</f>
        <v>0</v>
      </c>
      <c r="E85" s="116">
        <f>IF($A85="","",'Situfin serie mensual'!JU82)</f>
        <v>0</v>
      </c>
      <c r="F85" s="116">
        <f>IF($A85="","",'Situfin serie mensual'!JV82)</f>
        <v>0</v>
      </c>
      <c r="G85" s="116">
        <f>IF($A85="","",'Situfin serie mensual'!JW82)</f>
        <v>0</v>
      </c>
      <c r="H85" s="116">
        <f>IF($A85="","",'Situfin serie mensual'!JX82)</f>
        <v>0</v>
      </c>
      <c r="I85" s="116">
        <f>IF($A85="","",'Situfin serie mensual'!JY82)</f>
        <v>0</v>
      </c>
      <c r="J85" s="116">
        <f>IF($A85="","",'Situfin serie mensual'!JZ82)</f>
        <v>0</v>
      </c>
      <c r="K85" s="116">
        <f>IF($A85="","",'Situfin serie mensual'!KA82)</f>
        <v>0</v>
      </c>
      <c r="L85" s="116">
        <f>IF($A85="","",'Situfin serie mensual'!KB82)</f>
        <v>0</v>
      </c>
      <c r="M85" s="116">
        <f>IF($A85="","",'Situfin serie mensual'!KC82)</f>
        <v>0</v>
      </c>
      <c r="N85" s="116">
        <f>+SUM(B85:M85)</f>
        <v>3965.4977660272484</v>
      </c>
      <c r="O85" s="10"/>
      <c r="P85" s="10"/>
    </row>
    <row r="86" spans="1:17" s="119" customFormat="1" ht="13">
      <c r="A86" s="13" t="s">
        <v>57</v>
      </c>
      <c r="B86" s="118">
        <f>IF($A86="","",'Situfin serie mensual'!JR83)</f>
        <v>3620.2416423312484</v>
      </c>
      <c r="C86" s="118">
        <f>IF($A86="","",'Situfin serie mensual'!JS83)</f>
        <v>345.25612369600003</v>
      </c>
      <c r="D86" s="118">
        <f>IF($A86="","",'Situfin serie mensual'!JT83)</f>
        <v>0</v>
      </c>
      <c r="E86" s="118">
        <f>IF($A86="","",'Situfin serie mensual'!JU83)</f>
        <v>0</v>
      </c>
      <c r="F86" s="118">
        <f>IF($A86="","",'Situfin serie mensual'!JV83)</f>
        <v>0</v>
      </c>
      <c r="G86" s="118">
        <f>IF($A86="","",'Situfin serie mensual'!JW83)</f>
        <v>0</v>
      </c>
      <c r="H86" s="118">
        <f>IF($A86="","",'Situfin serie mensual'!JX83)</f>
        <v>0</v>
      </c>
      <c r="I86" s="118">
        <f>IF($A86="","",'Situfin serie mensual'!JY83)</f>
        <v>0</v>
      </c>
      <c r="J86" s="118">
        <f>IF($A86="","",'Situfin serie mensual'!JZ83)</f>
        <v>0</v>
      </c>
      <c r="K86" s="118">
        <f>IF($A86="","",'Situfin serie mensual'!KA83)</f>
        <v>0</v>
      </c>
      <c r="L86" s="118">
        <f>IF($A86="","",'Situfin serie mensual'!KB83)</f>
        <v>0</v>
      </c>
      <c r="M86" s="118">
        <f>IF($A86="","",'Situfin serie mensual'!KC83)</f>
        <v>0</v>
      </c>
      <c r="N86" s="118">
        <f t="shared" ref="N86:N97" si="2">+SUM(B86:M86)</f>
        <v>3965.4977660272484</v>
      </c>
      <c r="O86" s="10"/>
      <c r="P86" s="10"/>
    </row>
    <row r="87" spans="1:17" s="119" customFormat="1" ht="13">
      <c r="A87" s="13" t="s">
        <v>58</v>
      </c>
      <c r="B87" s="118">
        <f>IF($A87="","",'Situfin serie mensual'!JR84)</f>
        <v>0</v>
      </c>
      <c r="C87" s="118">
        <f>IF($A87="","",'Situfin serie mensual'!JS84)</f>
        <v>0</v>
      </c>
      <c r="D87" s="118">
        <f>IF($A87="","",'Situfin serie mensual'!JT84)</f>
        <v>0</v>
      </c>
      <c r="E87" s="118">
        <f>IF($A87="","",'Situfin serie mensual'!JU84)</f>
        <v>0</v>
      </c>
      <c r="F87" s="118">
        <f>IF($A87="","",'Situfin serie mensual'!JV84)</f>
        <v>0</v>
      </c>
      <c r="G87" s="118">
        <f>IF($A87="","",'Situfin serie mensual'!JW84)</f>
        <v>0</v>
      </c>
      <c r="H87" s="118">
        <f>IF($A87="","",'Situfin serie mensual'!JX84)</f>
        <v>0</v>
      </c>
      <c r="I87" s="118">
        <f>IF($A87="","",'Situfin serie mensual'!JY84)</f>
        <v>0</v>
      </c>
      <c r="J87" s="118">
        <f>IF($A87="","",'Situfin serie mensual'!JZ84)</f>
        <v>0</v>
      </c>
      <c r="K87" s="118">
        <f>IF($A87="","",'Situfin serie mensual'!KA84)</f>
        <v>0</v>
      </c>
      <c r="L87" s="118">
        <f>IF($A87="","",'Situfin serie mensual'!KB84)</f>
        <v>0</v>
      </c>
      <c r="M87" s="118">
        <f>IF($A87="","",'Situfin serie mensual'!KC84)</f>
        <v>0</v>
      </c>
      <c r="N87" s="118">
        <f t="shared" si="2"/>
        <v>0</v>
      </c>
      <c r="O87" s="10"/>
      <c r="P87" s="10"/>
    </row>
    <row r="88" spans="1:17" s="16" customFormat="1" ht="13" outlineLevel="2">
      <c r="A88" s="10" t="s">
        <v>59</v>
      </c>
      <c r="B88" s="116">
        <f>IF($A88="","",'Situfin serie mensual'!JR85)</f>
        <v>871.32885106700019</v>
      </c>
      <c r="C88" s="116">
        <f>IF($A88="","",'Situfin serie mensual'!JS85)</f>
        <v>157.55610864400001</v>
      </c>
      <c r="D88" s="116">
        <f>IF($A88="","",'Situfin serie mensual'!JT85)</f>
        <v>0</v>
      </c>
      <c r="E88" s="116">
        <f>IF($A88="","",'Situfin serie mensual'!JU85)</f>
        <v>0</v>
      </c>
      <c r="F88" s="116">
        <f>IF($A88="","",'Situfin serie mensual'!JV85)</f>
        <v>0</v>
      </c>
      <c r="G88" s="116">
        <f>IF($A88="","",'Situfin serie mensual'!JW85)</f>
        <v>0</v>
      </c>
      <c r="H88" s="116">
        <f>IF($A88="","",'Situfin serie mensual'!JX85)</f>
        <v>0</v>
      </c>
      <c r="I88" s="116">
        <f>IF($A88="","",'Situfin serie mensual'!JY85)</f>
        <v>0</v>
      </c>
      <c r="J88" s="116">
        <f>IF($A88="","",'Situfin serie mensual'!JZ85)</f>
        <v>0</v>
      </c>
      <c r="K88" s="116">
        <f>IF($A88="","",'Situfin serie mensual'!KA85)</f>
        <v>0</v>
      </c>
      <c r="L88" s="116">
        <f>IF($A88="","",'Situfin serie mensual'!KB85)</f>
        <v>0</v>
      </c>
      <c r="M88" s="116">
        <f>IF($A88="","",'Situfin serie mensual'!KC85)</f>
        <v>0</v>
      </c>
      <c r="N88" s="116">
        <f t="shared" si="2"/>
        <v>1028.8849597110002</v>
      </c>
      <c r="O88" s="10"/>
      <c r="P88" s="10"/>
    </row>
    <row r="89" spans="1:17" s="119" customFormat="1" ht="13">
      <c r="A89" s="13" t="s">
        <v>57</v>
      </c>
      <c r="B89" s="118">
        <f>IF($A89="","",'Situfin serie mensual'!JR86)</f>
        <v>91.060292405000183</v>
      </c>
      <c r="C89" s="118">
        <f>IF($A89="","",'Situfin serie mensual'!JS86)</f>
        <v>-89.751364764999991</v>
      </c>
      <c r="D89" s="118">
        <f>IF($A89="","",'Situfin serie mensual'!JT86)</f>
        <v>0</v>
      </c>
      <c r="E89" s="118">
        <f>IF($A89="","",'Situfin serie mensual'!JU86)</f>
        <v>0</v>
      </c>
      <c r="F89" s="118">
        <f>IF($A89="","",'Situfin serie mensual'!JV86)</f>
        <v>0</v>
      </c>
      <c r="G89" s="118">
        <f>IF($A89="","",'Situfin serie mensual'!JW86)</f>
        <v>0</v>
      </c>
      <c r="H89" s="118">
        <f>IF($A89="","",'Situfin serie mensual'!JX86)</f>
        <v>0</v>
      </c>
      <c r="I89" s="118">
        <f>IF($A89="","",'Situfin serie mensual'!JY86)</f>
        <v>0</v>
      </c>
      <c r="J89" s="118">
        <f>IF($A89="","",'Situfin serie mensual'!JZ86)</f>
        <v>0</v>
      </c>
      <c r="K89" s="118">
        <f>IF($A89="","",'Situfin serie mensual'!KA86)</f>
        <v>0</v>
      </c>
      <c r="L89" s="118">
        <f>IF($A89="","",'Situfin serie mensual'!KB86)</f>
        <v>0</v>
      </c>
      <c r="M89" s="118">
        <f>IF($A89="","",'Situfin serie mensual'!KC86)</f>
        <v>0</v>
      </c>
      <c r="N89" s="118">
        <f t="shared" si="2"/>
        <v>1.3089276400001921</v>
      </c>
      <c r="O89" s="10"/>
      <c r="P89" s="10"/>
    </row>
    <row r="90" spans="1:17" s="119" customFormat="1" ht="13">
      <c r="A90" s="13" t="s">
        <v>58</v>
      </c>
      <c r="B90" s="118">
        <f>IF($A90="","",'Situfin serie mensual'!JR87)</f>
        <v>780.26855866200003</v>
      </c>
      <c r="C90" s="118">
        <f>IF($A90="","",'Situfin serie mensual'!JS87)</f>
        <v>247.30747340900001</v>
      </c>
      <c r="D90" s="118">
        <f>IF($A90="","",'Situfin serie mensual'!JT87)</f>
        <v>0</v>
      </c>
      <c r="E90" s="118">
        <f>IF($A90="","",'Situfin serie mensual'!JU87)</f>
        <v>0</v>
      </c>
      <c r="F90" s="118">
        <f>IF($A90="","",'Situfin serie mensual'!JV87)</f>
        <v>0</v>
      </c>
      <c r="G90" s="118">
        <f>IF($A90="","",'Situfin serie mensual'!JW87)</f>
        <v>0</v>
      </c>
      <c r="H90" s="118">
        <f>IF($A90="","",'Situfin serie mensual'!JX87)</f>
        <v>0</v>
      </c>
      <c r="I90" s="118">
        <f>IF($A90="","",'Situfin serie mensual'!JY87)</f>
        <v>0</v>
      </c>
      <c r="J90" s="118">
        <f>IF($A90="","",'Situfin serie mensual'!JZ87)</f>
        <v>0</v>
      </c>
      <c r="K90" s="118">
        <f>IF($A90="","",'Situfin serie mensual'!KA87)</f>
        <v>0</v>
      </c>
      <c r="L90" s="118">
        <f>IF($A90="","",'Situfin serie mensual'!KB87)</f>
        <v>0</v>
      </c>
      <c r="M90" s="118">
        <f>IF($A90="","",'Situfin serie mensual'!KC87)</f>
        <v>0</v>
      </c>
      <c r="N90" s="118">
        <f t="shared" si="2"/>
        <v>1027.5760320710001</v>
      </c>
      <c r="O90" s="10"/>
      <c r="P90" s="10"/>
    </row>
    <row r="91" spans="1:17" s="119" customFormat="1" ht="13">
      <c r="A91" s="13"/>
      <c r="B91" s="118" t="str">
        <f>IF($A91="","",'Situfin serie mensual'!JR88)</f>
        <v/>
      </c>
      <c r="C91" s="118" t="str">
        <f>IF($A91="","",'Situfin serie mensual'!JS88)</f>
        <v/>
      </c>
      <c r="D91" s="118" t="str">
        <f>IF($A91="","",'Situfin serie mensual'!JT88)</f>
        <v/>
      </c>
      <c r="E91" s="118" t="str">
        <f>IF($A91="","",'Situfin serie mensual'!JU88)</f>
        <v/>
      </c>
      <c r="F91" s="118" t="str">
        <f>IF($A91="","",'Situfin serie mensual'!JV88)</f>
        <v/>
      </c>
      <c r="G91" s="118" t="str">
        <f>IF($A91="","",'Situfin serie mensual'!JW88)</f>
        <v/>
      </c>
      <c r="H91" s="118" t="str">
        <f>IF($A91="","",'Situfin serie mensual'!JX88)</f>
        <v/>
      </c>
      <c r="I91" s="118" t="str">
        <f>IF($A91="","",'Situfin serie mensual'!JY88)</f>
        <v/>
      </c>
      <c r="J91" s="118" t="str">
        <f>IF($A91="","",'Situfin serie mensual'!JZ88)</f>
        <v/>
      </c>
      <c r="K91" s="118" t="str">
        <f>IF($A91="","",'Situfin serie mensual'!KA88)</f>
        <v/>
      </c>
      <c r="L91" s="118" t="str">
        <f>IF($A91="","",'Situfin serie mensual'!KB88)</f>
        <v/>
      </c>
      <c r="M91" s="118" t="str">
        <f>IF($A91="","",'Situfin serie mensual'!KC88)</f>
        <v/>
      </c>
      <c r="N91" s="118"/>
      <c r="O91" s="10"/>
      <c r="P91" s="10"/>
    </row>
    <row r="92" spans="1:17" s="10" customFormat="1" ht="13">
      <c r="A92" s="10" t="s">
        <v>60</v>
      </c>
      <c r="B92" s="116">
        <f>IF($A92="","",'Situfin serie mensual'!JR89)</f>
        <v>91.060292405000155</v>
      </c>
      <c r="C92" s="116">
        <f>IF($A92="","",'Situfin serie mensual'!JS89)</f>
        <v>-74.680570051999993</v>
      </c>
      <c r="D92" s="116">
        <f>IF($A92="","",'Situfin serie mensual'!JT89)</f>
        <v>0</v>
      </c>
      <c r="E92" s="116">
        <f>IF($A92="","",'Situfin serie mensual'!JU89)</f>
        <v>0</v>
      </c>
      <c r="F92" s="116">
        <f>IF($A92="","",'Situfin serie mensual'!JV89)</f>
        <v>0</v>
      </c>
      <c r="G92" s="116">
        <f>IF($A92="","",'Situfin serie mensual'!JW89)</f>
        <v>0</v>
      </c>
      <c r="H92" s="116">
        <f>IF($A92="","",'Situfin serie mensual'!JX89)</f>
        <v>0</v>
      </c>
      <c r="I92" s="116">
        <f>IF($A92="","",'Situfin serie mensual'!JY89)</f>
        <v>0</v>
      </c>
      <c r="J92" s="116">
        <f>IF($A92="","",'Situfin serie mensual'!JZ89)</f>
        <v>0</v>
      </c>
      <c r="K92" s="116">
        <f>IF($A92="","",'Situfin serie mensual'!KA89)</f>
        <v>0</v>
      </c>
      <c r="L92" s="116">
        <f>IF($A92="","",'Situfin serie mensual'!KB89)</f>
        <v>0</v>
      </c>
      <c r="M92" s="116">
        <f>IF($A92="","",'Situfin serie mensual'!KC89)</f>
        <v>0</v>
      </c>
      <c r="N92" s="116">
        <f t="shared" si="2"/>
        <v>16.379722353000162</v>
      </c>
    </row>
    <row r="93" spans="1:17" s="134" customFormat="1" ht="13">
      <c r="A93" s="13" t="s">
        <v>61</v>
      </c>
      <c r="B93" s="133">
        <f>IF($A93="","",'Situfin serie mensual'!JR90)</f>
        <v>1598.1570913160001</v>
      </c>
      <c r="C93" s="133">
        <f>IF($A93="","",'Situfin serie mensual'!JS90)</f>
        <v>0</v>
      </c>
      <c r="D93" s="133">
        <f>IF($A93="","",'Situfin serie mensual'!JT90)</f>
        <v>0</v>
      </c>
      <c r="E93" s="133">
        <f>IF($A93="","",'Situfin serie mensual'!JU90)</f>
        <v>0</v>
      </c>
      <c r="F93" s="133">
        <f>IF($A93="","",'Situfin serie mensual'!JV90)</f>
        <v>0</v>
      </c>
      <c r="G93" s="133">
        <f>IF($A93="","",'Situfin serie mensual'!JW90)</f>
        <v>0</v>
      </c>
      <c r="H93" s="133">
        <f>IF($A93="","",'Situfin serie mensual'!JX90)</f>
        <v>0</v>
      </c>
      <c r="I93" s="133">
        <f>IF($A93="","",'Situfin serie mensual'!JY90)</f>
        <v>0</v>
      </c>
      <c r="J93" s="133">
        <f>IF($A93="","",'Situfin serie mensual'!JZ90)</f>
        <v>0</v>
      </c>
      <c r="K93" s="133">
        <f>IF($A93="","",'Situfin serie mensual'!KA90)</f>
        <v>0</v>
      </c>
      <c r="L93" s="133">
        <f>IF($A93="","",'Situfin serie mensual'!KB90)</f>
        <v>0</v>
      </c>
      <c r="M93" s="133">
        <f>IF($A93="","",'Situfin serie mensual'!KC90)</f>
        <v>0</v>
      </c>
      <c r="N93" s="118">
        <f t="shared" si="2"/>
        <v>1598.1570913160001</v>
      </c>
      <c r="O93" s="10"/>
      <c r="P93" s="10"/>
    </row>
    <row r="94" spans="1:17" s="134" customFormat="1" ht="13">
      <c r="A94" s="13" t="s">
        <v>62</v>
      </c>
      <c r="B94" s="133">
        <f>IF($A94="","",'Situfin serie mensual'!JR91)</f>
        <v>1507.096798911</v>
      </c>
      <c r="C94" s="133">
        <f>IF($A94="","",'Situfin serie mensual'!JS91)</f>
        <v>74.680570051999993</v>
      </c>
      <c r="D94" s="133">
        <f>IF($A94="","",'Situfin serie mensual'!JT91)</f>
        <v>0</v>
      </c>
      <c r="E94" s="133">
        <f>IF($A94="","",'Situfin serie mensual'!JU91)</f>
        <v>0</v>
      </c>
      <c r="F94" s="133">
        <f>IF($A94="","",'Situfin serie mensual'!JV91)</f>
        <v>0</v>
      </c>
      <c r="G94" s="133">
        <f>IF($A94="","",'Situfin serie mensual'!JW91)</f>
        <v>0</v>
      </c>
      <c r="H94" s="133">
        <f>IF($A94="","",'Situfin serie mensual'!JX91)</f>
        <v>0</v>
      </c>
      <c r="I94" s="133">
        <f>IF($A94="","",'Situfin serie mensual'!JY91)</f>
        <v>0</v>
      </c>
      <c r="J94" s="133">
        <f>IF($A94="","",'Situfin serie mensual'!JZ91)</f>
        <v>0</v>
      </c>
      <c r="K94" s="133">
        <f>IF($A94="","",'Situfin serie mensual'!KA91)</f>
        <v>0</v>
      </c>
      <c r="L94" s="133">
        <f>IF($A94="","",'Situfin serie mensual'!KB91)</f>
        <v>0</v>
      </c>
      <c r="M94" s="133">
        <f>IF($A94="","",'Situfin serie mensual'!KC91)</f>
        <v>0</v>
      </c>
      <c r="N94" s="118">
        <f t="shared" si="2"/>
        <v>1581.7773689629998</v>
      </c>
      <c r="O94" s="10"/>
      <c r="P94" s="10"/>
    </row>
    <row r="95" spans="1:17" s="134" customFormat="1" ht="13">
      <c r="B95" s="133" t="str">
        <f>IF($A95="","",'Situfin serie mensual'!JR92)</f>
        <v/>
      </c>
      <c r="C95" s="133" t="str">
        <f>IF($A95="","",'Situfin serie mensual'!JS92)</f>
        <v/>
      </c>
      <c r="D95" s="133" t="str">
        <f>IF($A95="","",'Situfin serie mensual'!JT92)</f>
        <v/>
      </c>
      <c r="E95" s="133" t="str">
        <f>IF($A95="","",'Situfin serie mensual'!JU92)</f>
        <v/>
      </c>
      <c r="F95" s="133" t="str">
        <f>IF($A95="","",'Situfin serie mensual'!JV92)</f>
        <v/>
      </c>
      <c r="G95" s="133" t="str">
        <f>IF($A95="","",'Situfin serie mensual'!JW92)</f>
        <v/>
      </c>
      <c r="H95" s="133" t="str">
        <f>IF($A95="","",'Situfin serie mensual'!JX92)</f>
        <v/>
      </c>
      <c r="I95" s="133" t="str">
        <f>IF($A95="","",'Situfin serie mensual'!JY92)</f>
        <v/>
      </c>
      <c r="J95" s="133" t="str">
        <f>IF($A95="","",'Situfin serie mensual'!JZ92)</f>
        <v/>
      </c>
      <c r="K95" s="133" t="str">
        <f>IF($A95="","",'Situfin serie mensual'!KA92)</f>
        <v/>
      </c>
      <c r="L95" s="133" t="str">
        <f>IF($A95="","",'Situfin serie mensual'!KB92)</f>
        <v/>
      </c>
      <c r="M95" s="133" t="str">
        <f>IF($A95="","",'Situfin serie mensual'!KC92)</f>
        <v/>
      </c>
      <c r="N95" s="153"/>
      <c r="O95" s="10"/>
      <c r="P95" s="10"/>
    </row>
    <row r="96" spans="1:17" s="134" customFormat="1" ht="13">
      <c r="A96" s="10" t="s">
        <v>63</v>
      </c>
      <c r="B96" s="135">
        <f>IF($A96="","",'Situfin serie mensual'!JR93)</f>
        <v>3620.9547608062485</v>
      </c>
      <c r="C96" s="135">
        <f>IF($A96="","",'Situfin serie mensual'!JS93)</f>
        <v>0</v>
      </c>
      <c r="D96" s="135">
        <f>IF($A96="","",'Situfin serie mensual'!JT93)</f>
        <v>0</v>
      </c>
      <c r="E96" s="135">
        <f>IF($A96="","",'Situfin serie mensual'!JU93)</f>
        <v>0</v>
      </c>
      <c r="F96" s="135">
        <f>IF($A96="","",'Situfin serie mensual'!JV93)</f>
        <v>0</v>
      </c>
      <c r="G96" s="135">
        <f>IF($A96="","",'Situfin serie mensual'!JW93)</f>
        <v>0</v>
      </c>
      <c r="H96" s="135">
        <f>IF($A96="","",'Situfin serie mensual'!JX93)</f>
        <v>0</v>
      </c>
      <c r="I96" s="135">
        <f>IF($A96="","",'Situfin serie mensual'!JY93)</f>
        <v>0</v>
      </c>
      <c r="J96" s="135">
        <f>IF($A96="","",'Situfin serie mensual'!JZ93)</f>
        <v>0</v>
      </c>
      <c r="K96" s="135">
        <f>IF($A96="","",'Situfin serie mensual'!KA93)</f>
        <v>0</v>
      </c>
      <c r="L96" s="135">
        <f>IF($A96="","",'Situfin serie mensual'!KB93)</f>
        <v>0</v>
      </c>
      <c r="M96" s="135">
        <f>IF($A96="","",'Situfin serie mensual'!KC93)</f>
        <v>0</v>
      </c>
      <c r="N96" s="116">
        <f t="shared" si="2"/>
        <v>3620.9547608062485</v>
      </c>
      <c r="O96" s="10"/>
      <c r="P96" s="10"/>
    </row>
    <row r="97" spans="1:16" s="134" customFormat="1" ht="13">
      <c r="A97" s="13" t="s">
        <v>64</v>
      </c>
      <c r="B97" s="133">
        <f>IF($A97="","",'Situfin serie mensual'!JR94)</f>
        <v>3620.9547608062485</v>
      </c>
      <c r="C97" s="133">
        <f>IF($A97="","",'Situfin serie mensual'!JS94)</f>
        <v>0</v>
      </c>
      <c r="D97" s="133">
        <f>IF($A97="","",'Situfin serie mensual'!JT94)</f>
        <v>0</v>
      </c>
      <c r="E97" s="133">
        <f>IF($A97="","",'Situfin serie mensual'!JU94)</f>
        <v>0</v>
      </c>
      <c r="F97" s="133">
        <f>IF($A97="","",'Situfin serie mensual'!JV94)</f>
        <v>0</v>
      </c>
      <c r="G97" s="133">
        <f>IF($A97="","",'Situfin serie mensual'!JW94)</f>
        <v>0</v>
      </c>
      <c r="H97" s="133">
        <f>IF($A97="","",'Situfin serie mensual'!JX94)</f>
        <v>0</v>
      </c>
      <c r="I97" s="133">
        <f>IF($A97="","",'Situfin serie mensual'!JY94)</f>
        <v>0</v>
      </c>
      <c r="J97" s="133">
        <f>IF($A97="","",'Situfin serie mensual'!JZ94)</f>
        <v>0</v>
      </c>
      <c r="K97" s="133">
        <f>IF($A97="","",'Situfin serie mensual'!KA94)</f>
        <v>0</v>
      </c>
      <c r="L97" s="133">
        <f>IF($A97="","",'Situfin serie mensual'!KB94)</f>
        <v>0</v>
      </c>
      <c r="M97" s="133">
        <f>IF($A97="","",'Situfin serie mensual'!KC94)</f>
        <v>0</v>
      </c>
      <c r="N97" s="118">
        <f t="shared" si="2"/>
        <v>3620.9547608062485</v>
      </c>
      <c r="O97" s="10"/>
      <c r="P97" s="10"/>
    </row>
    <row r="98" spans="1:16" s="134" customFormat="1" ht="13">
      <c r="A98" s="119"/>
      <c r="B98" s="133" t="str">
        <f>IF($A98="","",'Situfin serie mensual'!JR95)</f>
        <v/>
      </c>
      <c r="C98" s="133" t="str">
        <f>IF($A98="","",'Situfin serie mensual'!JS95)</f>
        <v/>
      </c>
      <c r="D98" s="133" t="str">
        <f>IF($A98="","",'Situfin serie mensual'!JT95)</f>
        <v/>
      </c>
      <c r="E98" s="133" t="str">
        <f>IF($A98="","",'Situfin serie mensual'!JU95)</f>
        <v/>
      </c>
      <c r="F98" s="133" t="str">
        <f>IF($A98="","",'Situfin serie mensual'!JV95)</f>
        <v/>
      </c>
      <c r="G98" s="133" t="str">
        <f>IF($A98="","",'Situfin serie mensual'!JW95)</f>
        <v/>
      </c>
      <c r="H98" s="133" t="str">
        <f>IF($A98="","",'Situfin serie mensual'!JX95)</f>
        <v/>
      </c>
      <c r="I98" s="133" t="str">
        <f>IF($A98="","",'Situfin serie mensual'!JY95)</f>
        <v/>
      </c>
      <c r="J98" s="133" t="str">
        <f>IF($A98="","",'Situfin serie mensual'!JZ95)</f>
        <v/>
      </c>
      <c r="K98" s="133" t="str">
        <f>IF($A98="","",'Situfin serie mensual'!KA95)</f>
        <v/>
      </c>
      <c r="L98" s="133" t="str">
        <f>IF($A98="","",'Situfin serie mensual'!KB95)</f>
        <v/>
      </c>
      <c r="M98" s="133" t="str">
        <f>IF($A98="","",'Situfin serie mensual'!KC95)</f>
        <v/>
      </c>
      <c r="N98" s="153"/>
      <c r="O98" s="10"/>
      <c r="P98" s="10"/>
    </row>
    <row r="99" spans="1:16" s="134" customFormat="1" ht="13" hidden="1">
      <c r="A99" s="10" t="s">
        <v>157</v>
      </c>
      <c r="B99" s="135">
        <f>IF($A99="","",'Situfin serie mensual'!JR96)</f>
        <v>-3381.0159948012479</v>
      </c>
      <c r="C99" s="135">
        <f>IF($A99="","",'Situfin serie mensual'!JS96)</f>
        <v>-1636.1946671129999</v>
      </c>
      <c r="D99" s="135">
        <f>IF($A99="","",'Situfin serie mensual'!JT96)</f>
        <v>0</v>
      </c>
      <c r="E99" s="135">
        <f>IF($A99="","",'Situfin serie mensual'!JU96)</f>
        <v>0</v>
      </c>
      <c r="F99" s="135">
        <f>IF($A99="","",'Situfin serie mensual'!JV96)</f>
        <v>0</v>
      </c>
      <c r="G99" s="135">
        <f>IF($A99="","",'Situfin serie mensual'!JW96)</f>
        <v>0</v>
      </c>
      <c r="H99" s="135">
        <f>IF($A99="","",'Situfin serie mensual'!JX96)</f>
        <v>0</v>
      </c>
      <c r="I99" s="135">
        <f>IF($A99="","",'Situfin serie mensual'!JY96)</f>
        <v>0</v>
      </c>
      <c r="J99" s="135">
        <f>IF($A99="","",'Situfin serie mensual'!JZ96)</f>
        <v>0</v>
      </c>
      <c r="K99" s="135">
        <f>IF($A99="","",'Situfin serie mensual'!KA96)</f>
        <v>0</v>
      </c>
      <c r="L99" s="135">
        <f>IF($A99="","",'Situfin serie mensual'!KB96)</f>
        <v>0</v>
      </c>
      <c r="M99" s="135">
        <f>IF($A99="","",'Situfin serie mensual'!KC96)</f>
        <v>0</v>
      </c>
      <c r="N99" s="116">
        <f>+SUM(B99:M99)</f>
        <v>-5017.2106619142478</v>
      </c>
      <c r="O99" s="10"/>
      <c r="P99" s="10"/>
    </row>
    <row r="100" spans="1:16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>
      <c r="A101" s="206" t="s">
        <v>192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>
      <c r="A102" s="201" t="s">
        <v>193</v>
      </c>
      <c r="B102" s="203">
        <f>B37-B51-B54-B57-B69-B44</f>
        <v>3645.6135262640005</v>
      </c>
      <c r="C102" s="203">
        <f t="shared" ref="C102:M102" si="3">C37-C51-C54-C57-C69-C44</f>
        <v>3705.1015556040002</v>
      </c>
      <c r="D102" s="203">
        <f t="shared" si="3"/>
        <v>0</v>
      </c>
      <c r="E102" s="203">
        <f t="shared" si="3"/>
        <v>0</v>
      </c>
      <c r="F102" s="203">
        <f t="shared" si="3"/>
        <v>0</v>
      </c>
      <c r="G102" s="203">
        <f t="shared" si="3"/>
        <v>0</v>
      </c>
      <c r="H102" s="203">
        <f t="shared" si="3"/>
        <v>0</v>
      </c>
      <c r="I102" s="203">
        <f t="shared" si="3"/>
        <v>0</v>
      </c>
      <c r="J102" s="203">
        <f t="shared" si="3"/>
        <v>0</v>
      </c>
      <c r="K102" s="203">
        <f t="shared" si="3"/>
        <v>0</v>
      </c>
      <c r="L102" s="203">
        <f t="shared" si="3"/>
        <v>0</v>
      </c>
      <c r="M102" s="203">
        <f t="shared" si="3"/>
        <v>0</v>
      </c>
      <c r="N102" s="118">
        <f t="shared" ref="N102:N103" si="4">+SUM(B102:M102)</f>
        <v>7350.7150818680002</v>
      </c>
      <c r="O102" s="201"/>
      <c r="P102" s="201"/>
    </row>
    <row r="103" spans="1:16">
      <c r="A103" s="201" t="s">
        <v>93</v>
      </c>
      <c r="B103" s="203">
        <f>B81+B44</f>
        <v>-86.363663270999609</v>
      </c>
      <c r="C103" s="203">
        <f t="shared" ref="C103:M103" si="5">C81+C44</f>
        <v>-742.57135256999993</v>
      </c>
      <c r="D103" s="203">
        <f t="shared" si="5"/>
        <v>0</v>
      </c>
      <c r="E103" s="203">
        <f t="shared" si="5"/>
        <v>0</v>
      </c>
      <c r="F103" s="203">
        <f t="shared" si="5"/>
        <v>0</v>
      </c>
      <c r="G103" s="203">
        <f t="shared" si="5"/>
        <v>0</v>
      </c>
      <c r="H103" s="203">
        <f t="shared" si="5"/>
        <v>0</v>
      </c>
      <c r="I103" s="203">
        <f t="shared" si="5"/>
        <v>0</v>
      </c>
      <c r="J103" s="203">
        <f t="shared" si="5"/>
        <v>0</v>
      </c>
      <c r="K103" s="203">
        <f t="shared" si="5"/>
        <v>0</v>
      </c>
      <c r="L103" s="203">
        <f t="shared" si="5"/>
        <v>0</v>
      </c>
      <c r="M103" s="203">
        <f t="shared" si="5"/>
        <v>0</v>
      </c>
      <c r="N103" s="118">
        <f t="shared" si="4"/>
        <v>-828.93501584099954</v>
      </c>
      <c r="O103" s="201"/>
      <c r="P103" s="201"/>
    </row>
    <row r="104" spans="1:16" ht="9" customHeight="1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7">
      <c r="A105" s="174" t="s">
        <v>189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>
      <c r="A106" s="139" t="s">
        <v>172</v>
      </c>
      <c r="F106" s="154"/>
    </row>
    <row r="107" spans="1:16">
      <c r="F107" s="154"/>
    </row>
    <row r="108" spans="1:16" hidden="1">
      <c r="F108" s="154"/>
    </row>
  </sheetData>
  <mergeCells count="18">
    <mergeCell ref="H10:H11"/>
    <mergeCell ref="I10:I11"/>
    <mergeCell ref="J10:J11"/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  <mergeCell ref="G10:G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49"/>
  <sheetViews>
    <sheetView showGridLines="0" topLeftCell="A49" workbookViewId="0">
      <selection activeCell="C59" sqref="C59"/>
    </sheetView>
  </sheetViews>
  <sheetFormatPr baseColWidth="10" defaultColWidth="11.54296875" defaultRowHeight="14.5"/>
  <cols>
    <col min="1" max="1" width="17.54296875" bestFit="1" customWidth="1"/>
    <col min="2" max="2" width="20.453125" bestFit="1" customWidth="1"/>
    <col min="3" max="3" width="15.1796875" bestFit="1" customWidth="1"/>
    <col min="4" max="4" width="10.54296875" bestFit="1" customWidth="1"/>
    <col min="5" max="5" width="12.26953125" bestFit="1" customWidth="1"/>
    <col min="6" max="6" width="15.453125" bestFit="1" customWidth="1"/>
    <col min="7" max="7" width="20.453125" bestFit="1" customWidth="1"/>
    <col min="8" max="8" width="21.81640625" bestFit="1" customWidth="1"/>
    <col min="9" max="9" width="20.453125" bestFit="1" customWidth="1"/>
    <col min="10" max="10" width="8.81640625" bestFit="1" customWidth="1"/>
    <col min="11" max="11" width="12.54296875" bestFit="1" customWidth="1"/>
    <col min="12" max="12" width="6.81640625" bestFit="1" customWidth="1"/>
    <col min="13" max="13" width="10.1796875" customWidth="1"/>
    <col min="14" max="14" width="20.453125" bestFit="1" customWidth="1"/>
    <col min="15" max="15" width="15.453125" bestFit="1" customWidth="1"/>
    <col min="16" max="16" width="18" bestFit="1" customWidth="1"/>
    <col min="17" max="17" width="25.81640625" bestFit="1" customWidth="1"/>
    <col min="18" max="18" width="11.54296875" customWidth="1"/>
    <col min="19" max="19" width="46" customWidth="1"/>
    <col min="20" max="20" width="14.54296875" bestFit="1" customWidth="1"/>
    <col min="21" max="21" width="15.54296875" bestFit="1" customWidth="1"/>
    <col min="22" max="22" width="10.1796875" customWidth="1"/>
  </cols>
  <sheetData>
    <row r="1" spans="1:22">
      <c r="A1" s="67" t="s">
        <v>67</v>
      </c>
      <c r="B1" t="s">
        <v>222</v>
      </c>
      <c r="H1" s="67" t="s">
        <v>67</v>
      </c>
      <c r="I1" t="s">
        <v>222</v>
      </c>
    </row>
    <row r="2" spans="1:22">
      <c r="S2" s="73" t="s">
        <v>124</v>
      </c>
    </row>
    <row r="3" spans="1:22">
      <c r="A3" s="67" t="s">
        <v>174</v>
      </c>
      <c r="B3" t="s">
        <v>109</v>
      </c>
      <c r="C3" t="s">
        <v>179</v>
      </c>
      <c r="H3" s="67" t="s">
        <v>174</v>
      </c>
      <c r="I3" t="s">
        <v>103</v>
      </c>
      <c r="J3" t="s">
        <v>104</v>
      </c>
      <c r="K3" t="s">
        <v>95</v>
      </c>
      <c r="L3" t="s">
        <v>101</v>
      </c>
      <c r="T3" s="182" t="s">
        <v>99</v>
      </c>
      <c r="U3" s="182" t="s">
        <v>100</v>
      </c>
      <c r="V3" s="182" t="s">
        <v>102</v>
      </c>
    </row>
    <row r="4" spans="1:22">
      <c r="A4" s="68">
        <v>2021</v>
      </c>
      <c r="B4" s="66">
        <v>35.70826572050602</v>
      </c>
      <c r="C4" s="66">
        <v>124.79405733171254</v>
      </c>
      <c r="H4" s="68">
        <v>2021</v>
      </c>
      <c r="I4" s="66">
        <v>529.49349235599993</v>
      </c>
      <c r="J4" s="66">
        <v>0</v>
      </c>
      <c r="K4" s="66">
        <v>529.49349235599993</v>
      </c>
      <c r="L4" s="70"/>
      <c r="S4" t="s">
        <v>125</v>
      </c>
      <c r="T4" s="66">
        <f>VLOOKUP(MAX(A4:A9),$A$4:$B$9,2,0)</f>
        <v>-316.49217569703728</v>
      </c>
      <c r="U4" s="66">
        <f>VLOOKUP(MAX(A4:A9)-1,$A$4:$B$9,2,0)</f>
        <v>-173.46926352889542</v>
      </c>
      <c r="V4" s="183"/>
    </row>
    <row r="5" spans="1:22">
      <c r="A5" s="68">
        <v>2022</v>
      </c>
      <c r="B5" s="66">
        <v>-37.007063087989479</v>
      </c>
      <c r="C5" s="66">
        <v>85.6274726114694</v>
      </c>
      <c r="H5" s="68">
        <v>2022</v>
      </c>
      <c r="I5" s="66">
        <v>447.71986819699998</v>
      </c>
      <c r="J5" s="66">
        <v>30.900995959999999</v>
      </c>
      <c r="K5" s="66">
        <v>478.62086415699997</v>
      </c>
      <c r="L5" s="70">
        <v>-9.6077910179104206E-2</v>
      </c>
      <c r="S5" t="s">
        <v>126</v>
      </c>
      <c r="T5" s="184">
        <f>VLOOKUP(MAX(A14:A19),$A$14:$B$19,2,0)/100</f>
        <v>-5.1963327305311032E-3</v>
      </c>
      <c r="U5" s="184">
        <f>(VLOOKUP(MAX(A14:A19)-1,$A$14:$B$19,2,0))/100</f>
        <v>-3.6919430545510083E-3</v>
      </c>
      <c r="V5" s="183"/>
    </row>
    <row r="6" spans="1:22">
      <c r="A6" s="68">
        <v>2023</v>
      </c>
      <c r="B6" s="66">
        <v>-181.86455485761647</v>
      </c>
      <c r="C6" s="66">
        <v>-59.567422450610621</v>
      </c>
      <c r="H6" s="68">
        <v>2023</v>
      </c>
      <c r="I6" s="66">
        <v>499.94523181400001</v>
      </c>
      <c r="J6" s="66">
        <v>82.461669158999996</v>
      </c>
      <c r="K6" s="66">
        <v>582.40690097300001</v>
      </c>
      <c r="L6" s="70">
        <v>0.21684394598802015</v>
      </c>
      <c r="S6" t="s">
        <v>194</v>
      </c>
      <c r="T6" s="216">
        <f>VLOOKUP(MAX($G$54:$G$145),$G$54:$J$145,4,0)</f>
        <v>-1183.3178138113217</v>
      </c>
      <c r="U6" s="216">
        <f>VLOOKUP(MAX($G$54:$G$145)-1,$G$54:$J$145,4,0)</f>
        <v>-1315.5143747453947</v>
      </c>
      <c r="V6" s="183"/>
    </row>
    <row r="7" spans="1:22">
      <c r="A7" s="68">
        <v>2024</v>
      </c>
      <c r="B7" s="66">
        <v>25.966027091137235</v>
      </c>
      <c r="C7" s="66">
        <v>56.422387295631992</v>
      </c>
      <c r="H7" s="68">
        <v>2024</v>
      </c>
      <c r="I7" s="66">
        <v>647.46345959900009</v>
      </c>
      <c r="J7" s="66">
        <v>0</v>
      </c>
      <c r="K7" s="66">
        <v>647.46345959900009</v>
      </c>
      <c r="L7" s="70">
        <v>0.11170293229237691</v>
      </c>
      <c r="S7" t="s">
        <v>127</v>
      </c>
      <c r="T7" s="184">
        <f>(VLOOKUP(MAX(A54:A139),$A$54:$E$139,5,0))/100</f>
        <v>-2.0341005939936534E-2</v>
      </c>
      <c r="U7" s="184">
        <f>(VLOOKUP(MAX(A54:A139)-1,$A$54:$E$139,5,0))/100</f>
        <v>-2.7326712374343688E-2</v>
      </c>
      <c r="V7" s="183"/>
    </row>
    <row r="8" spans="1:22">
      <c r="A8" s="68">
        <v>2025</v>
      </c>
      <c r="B8" s="66">
        <v>-173.46926352889542</v>
      </c>
      <c r="C8" s="66">
        <v>-10.36519794640877</v>
      </c>
      <c r="H8" s="68">
        <v>2025</v>
      </c>
      <c r="I8" s="66">
        <v>710.88196472100003</v>
      </c>
      <c r="J8" s="66">
        <v>186.91150083100001</v>
      </c>
      <c r="K8" s="66">
        <v>897.79346555200004</v>
      </c>
      <c r="L8" s="70">
        <v>0.38663186661999321</v>
      </c>
      <c r="S8" t="s">
        <v>177</v>
      </c>
      <c r="T8" s="184">
        <f>ABS(VLOOKUP(MAX(M55:M142),$M$55:$Q$142,5,0))/100</f>
        <v>3.6176429530830633E-3</v>
      </c>
      <c r="U8" s="184">
        <f>ABS(VLOOKUP(MAX(M55:M142)-1,$M$55:$Q$142,5,0))/100</f>
        <v>3.0735756978388751E-3</v>
      </c>
      <c r="V8" s="183"/>
    </row>
    <row r="9" spans="1:22">
      <c r="A9" s="68">
        <v>2026</v>
      </c>
      <c r="B9" s="66">
        <v>-316.49217569703728</v>
      </c>
      <c r="C9" s="66">
        <v>-211.4716202843874</v>
      </c>
      <c r="H9" s="68">
        <v>2026</v>
      </c>
      <c r="I9" s="66">
        <v>460.99598931500003</v>
      </c>
      <c r="J9" s="66">
        <v>72.164025960000004</v>
      </c>
      <c r="K9" s="66">
        <v>533.16001527499998</v>
      </c>
      <c r="L9" s="70">
        <v>-0.40614402339496708</v>
      </c>
      <c r="S9" t="s">
        <v>178</v>
      </c>
      <c r="T9" s="185">
        <f>VLOOKUP(MAX(A4:A9),$A$4:$C$9,3,0)</f>
        <v>-211.4716202843874</v>
      </c>
      <c r="U9" s="185">
        <f>VLOOKUP(MAX(A4:A9)-1,$A$4:$C$9,3,0)</f>
        <v>-10.36519794640877</v>
      </c>
      <c r="V9" s="183"/>
    </row>
    <row r="10" spans="1:22">
      <c r="S10" t="s">
        <v>180</v>
      </c>
      <c r="T10" s="184">
        <f>VLOOKUP(MAX(A14:A19),$A$14:$C$19,3,0)/100</f>
        <v>-3.4637245203013129E-3</v>
      </c>
      <c r="U10" s="184">
        <f>VLOOKUP(MAX(A14:A19)-1,$A$14:$C$19,3,0)/100</f>
        <v>-2.2087189934135858E-4</v>
      </c>
      <c r="V10" s="183"/>
    </row>
    <row r="11" spans="1:22">
      <c r="A11" s="67" t="s">
        <v>67</v>
      </c>
      <c r="B11" t="s">
        <v>222</v>
      </c>
      <c r="S11" t="s">
        <v>196</v>
      </c>
      <c r="T11" s="216">
        <f>VLOOKUP(MAX($G$54:$G$145),$G$54:$J$145,3,0)</f>
        <v>-474.64178772591993</v>
      </c>
      <c r="U11" s="216">
        <f>VLOOKUP(MAX($G$54:$G$145)-1,$G$54:$J$145,3,0)</f>
        <v>-347.82852692820677</v>
      </c>
      <c r="V11" s="183"/>
    </row>
    <row r="12" spans="1:22">
      <c r="S12" t="s">
        <v>186</v>
      </c>
      <c r="T12" s="184">
        <f>(VLOOKUP(MAX(A54:A139),$A$54:$E$139,3,0))/100</f>
        <v>-7.4303572996741278E-3</v>
      </c>
      <c r="U12" s="184">
        <f>(VLOOKUP(MAX(A54:A139)-1,$A$54:$E$139,3,0))/100</f>
        <v>-7.3163217524582127E-3</v>
      </c>
      <c r="V12" s="183"/>
    </row>
    <row r="13" spans="1:22" ht="15.5">
      <c r="A13" s="67" t="s">
        <v>174</v>
      </c>
      <c r="B13" t="s">
        <v>110</v>
      </c>
      <c r="C13" t="s">
        <v>175</v>
      </c>
      <c r="S13" t="s">
        <v>98</v>
      </c>
      <c r="T13" s="66">
        <f>VLOOKUP(MAX(A24:A29),$A$24:$H$29,2,0)</f>
        <v>7568.2778212020003</v>
      </c>
      <c r="U13" s="66">
        <f>VLOOKUP(MAX(A24:A29)-1,$A$24:$H$29,2,0)</f>
        <v>7976.7356944030007</v>
      </c>
      <c r="V13" s="191">
        <f>(IFERROR(T13/U13-1,0))</f>
        <v>-5.1206143571686957E-2</v>
      </c>
    </row>
    <row r="14" spans="1:22" ht="15.5">
      <c r="A14" s="68">
        <v>2021</v>
      </c>
      <c r="B14" s="66">
        <v>9.3526469496526529E-2</v>
      </c>
      <c r="C14" s="66">
        <v>0.31828948572872662</v>
      </c>
      <c r="K14" s="219"/>
      <c r="S14" t="s">
        <v>84</v>
      </c>
      <c r="T14" s="66">
        <f>VLOOKUP(MAX(A24:A29),$A$24:$H$29,3,0)</f>
        <v>5812.5919032410011</v>
      </c>
      <c r="U14" s="66">
        <f>VLOOKUP(MAX(A24:A29)-1,$A$24:$H$29,3,0)</f>
        <v>5883.7408910120012</v>
      </c>
      <c r="V14" s="190">
        <f>IFERROR(T14/U14-1,0)</f>
        <v>-1.209247468386776E-2</v>
      </c>
    </row>
    <row r="15" spans="1:22" ht="15.5">
      <c r="A15" s="68">
        <v>2022</v>
      </c>
      <c r="B15" s="66">
        <v>-8.7892735917284262E-2</v>
      </c>
      <c r="C15" s="66">
        <v>0.20465892006568207</v>
      </c>
      <c r="K15" s="219"/>
      <c r="S15" t="s">
        <v>85</v>
      </c>
      <c r="T15" s="66">
        <f>VLOOKUP(MAX(A24:A29),$A$24:$H$29,4,0)</f>
        <v>578.37900628800003</v>
      </c>
      <c r="U15" s="66">
        <f>VLOOKUP(MAX(A24:A29)-1,$A$24:$H$29,4,0)</f>
        <v>550.61952995699994</v>
      </c>
      <c r="V15" s="190">
        <f t="shared" ref="V15:V32" si="0">IFERROR(T15/U15-1,0)</f>
        <v>5.0414986793454242E-2</v>
      </c>
    </row>
    <row r="16" spans="1:22" ht="15.5">
      <c r="A16" s="68">
        <v>2023</v>
      </c>
      <c r="B16" s="66">
        <v>-0.42279823130286209</v>
      </c>
      <c r="C16" s="66">
        <v>-0.13792795731708934</v>
      </c>
      <c r="K16" s="219"/>
      <c r="S16" t="s">
        <v>86</v>
      </c>
      <c r="T16" s="66">
        <f>VLOOKUP(MAX(A24:A29),$A$24:$H$29,5,0)</f>
        <v>242.19039053400002</v>
      </c>
      <c r="U16" s="66">
        <f>VLOOKUP(MAX(A24:A29)-1,$A$24:$H$29,5,0)</f>
        <v>249.80122824</v>
      </c>
      <c r="V16" s="190">
        <f t="shared" si="0"/>
        <v>-3.0467575198180219E-2</v>
      </c>
    </row>
    <row r="17" spans="1:22" ht="15.5">
      <c r="A17" s="68">
        <v>2024</v>
      </c>
      <c r="B17" s="66">
        <v>5.5846162951150913E-2</v>
      </c>
      <c r="C17" s="66">
        <v>0.12144097391847491</v>
      </c>
      <c r="S17" t="s">
        <v>87</v>
      </c>
      <c r="T17" s="66">
        <f>VLOOKUP(MAX(A24:A29),$A$24:$H$29,4,0)</f>
        <v>578.37900628800003</v>
      </c>
      <c r="U17" s="66">
        <f>VLOOKUP(MAX(A24:A29)-1,$A$24:$H$29,4,0)</f>
        <v>550.61952995699994</v>
      </c>
      <c r="V17" s="190">
        <f t="shared" si="0"/>
        <v>5.0414986793454242E-2</v>
      </c>
    </row>
    <row r="18" spans="1:22" ht="15.5">
      <c r="A18" s="68">
        <v>2025</v>
      </c>
      <c r="B18" s="66">
        <v>-0.36919430545510085</v>
      </c>
      <c r="C18" s="66">
        <v>-2.2087189934135859E-2</v>
      </c>
      <c r="S18" t="s">
        <v>11</v>
      </c>
      <c r="T18" s="66">
        <f>VLOOKUP(MAX(A24:A29),$A$24:$H$29,5,0)</f>
        <v>242.19039053400002</v>
      </c>
      <c r="U18" s="66">
        <f>VLOOKUP(MAX(A24:A29)-1,$A$24:$H$29,5,0)</f>
        <v>249.80122824</v>
      </c>
      <c r="V18" s="190">
        <f t="shared" si="0"/>
        <v>-3.0467575198180219E-2</v>
      </c>
    </row>
    <row r="19" spans="1:22" ht="15.5">
      <c r="A19" s="68">
        <v>2026</v>
      </c>
      <c r="B19" s="66">
        <v>-0.51963327305311036</v>
      </c>
      <c r="C19" s="66">
        <v>-0.34637245203013128</v>
      </c>
      <c r="S19" t="s">
        <v>88</v>
      </c>
      <c r="T19" s="66">
        <f>VLOOKUP(MAX(A24:A29),$A$24:$H$29,6,0)</f>
        <v>935.11652113900004</v>
      </c>
      <c r="U19" s="66">
        <f>VLOOKUP(MAX(A24:A29)-1,$A$24:$H$29,6,0)</f>
        <v>1292.5740451939998</v>
      </c>
      <c r="V19" s="190">
        <f t="shared" si="0"/>
        <v>-0.27654703835659156</v>
      </c>
    </row>
    <row r="20" spans="1:22" ht="15.5">
      <c r="S20" t="s">
        <v>128</v>
      </c>
      <c r="T20" s="66">
        <f>VLOOKUP(MAX(A34:A39),$A$34:$H$39,2,0)</f>
        <v>8955.1439406440004</v>
      </c>
      <c r="U20" s="66">
        <f>VLOOKUP(MAX(A34:A39)-1,$A$34:$H$39,2,0)</f>
        <v>8058.686425191001</v>
      </c>
      <c r="V20" s="191">
        <f t="shared" si="0"/>
        <v>0.11124114628045634</v>
      </c>
    </row>
    <row r="21" spans="1:22" ht="15.5">
      <c r="A21" s="67" t="s">
        <v>67</v>
      </c>
      <c r="B21" t="s">
        <v>222</v>
      </c>
      <c r="S21" t="s">
        <v>89</v>
      </c>
      <c r="T21" s="66">
        <f>VLOOKUP(MAX(A34:A39),$A$34:$H$39,3,0)</f>
        <v>3817.1137416030001</v>
      </c>
      <c r="U21" s="66">
        <f>VLOOKUP(MAX(A34:A39)-1,$A$34:$H$39,3,0)</f>
        <v>3502.7172934540004</v>
      </c>
      <c r="V21" s="190">
        <f t="shared" si="0"/>
        <v>8.9757871335078843E-2</v>
      </c>
    </row>
    <row r="22" spans="1:22" ht="15.5">
      <c r="S22" t="s">
        <v>90</v>
      </c>
      <c r="T22" s="66">
        <f>VLOOKUP(MAX(A34:A39),$A$34:$H$39,4,0)</f>
        <v>816.8573796500001</v>
      </c>
      <c r="U22" s="66">
        <f>VLOOKUP(MAX(A34:A39)-1,$A$34:$H$39,4,0)</f>
        <v>1015.179560712</v>
      </c>
      <c r="V22" s="190">
        <f t="shared" si="0"/>
        <v>-0.19535675139371989</v>
      </c>
    </row>
    <row r="23" spans="1:22" ht="15.5">
      <c r="A23" s="67" t="s">
        <v>174</v>
      </c>
      <c r="B23" t="s">
        <v>96</v>
      </c>
      <c r="C23" t="s">
        <v>94</v>
      </c>
      <c r="D23" t="s">
        <v>111</v>
      </c>
      <c r="E23" t="s">
        <v>106</v>
      </c>
      <c r="F23" t="s">
        <v>112</v>
      </c>
      <c r="S23" t="s">
        <v>31</v>
      </c>
      <c r="T23" s="66">
        <f>VLOOKUP(MAX(A34:A39),$A$34:$H$39,5,0)</f>
        <v>1251.662839757</v>
      </c>
      <c r="U23" s="66">
        <f>VLOOKUP(MAX(A34:A39)-1,$A$34:$H$39,5,0)</f>
        <v>923.02490249100003</v>
      </c>
      <c r="V23" s="190">
        <f t="shared" si="0"/>
        <v>0.35604449715180286</v>
      </c>
    </row>
    <row r="24" spans="1:22" ht="15.5">
      <c r="A24" s="68">
        <v>2021</v>
      </c>
      <c r="B24" s="66">
        <v>5887.5516803460014</v>
      </c>
      <c r="C24" s="66">
        <v>3731.2844466700008</v>
      </c>
      <c r="D24" s="66">
        <v>736.06587072399998</v>
      </c>
      <c r="E24" s="66">
        <v>199.22017319199998</v>
      </c>
      <c r="F24" s="66">
        <v>1220.98118976</v>
      </c>
      <c r="S24" t="s">
        <v>11</v>
      </c>
      <c r="T24" s="66">
        <f>VLOOKUP(MAX(A34:A39),$A$34:$H$39,6,0)</f>
        <v>973.17231305299993</v>
      </c>
      <c r="U24" s="66">
        <f>VLOOKUP(MAX(A34:A39)-1,$A$34:$H$39,6,0)</f>
        <v>759.67566695499988</v>
      </c>
      <c r="V24" s="190">
        <f t="shared" si="0"/>
        <v>0.28103657308619145</v>
      </c>
    </row>
    <row r="25" spans="1:22" ht="15.5">
      <c r="A25" s="68">
        <v>2022</v>
      </c>
      <c r="B25" s="66">
        <v>5973.8677446370002</v>
      </c>
      <c r="C25" s="66">
        <v>4181.8853871280007</v>
      </c>
      <c r="D25" s="66">
        <v>822.67983963100005</v>
      </c>
      <c r="E25" s="66">
        <v>202.19555719900001</v>
      </c>
      <c r="F25" s="66">
        <v>767.10696067900005</v>
      </c>
      <c r="S25" t="s">
        <v>91</v>
      </c>
      <c r="T25" s="66">
        <f>VLOOKUP(MAX(A34:A39),$A$34:$H$39,7,0)</f>
        <v>1915.691039409</v>
      </c>
      <c r="U25" s="66">
        <f>VLOOKUP(MAX(A34:A39)-1,$A$34:$H$39,7,0)</f>
        <v>1680.8681596179999</v>
      </c>
      <c r="V25" s="190">
        <f t="shared" si="0"/>
        <v>0.1397033303577877</v>
      </c>
    </row>
    <row r="26" spans="1:22" ht="15.5">
      <c r="A26" s="68">
        <v>2023</v>
      </c>
      <c r="B26" s="66">
        <v>5885.6086597640005</v>
      </c>
      <c r="C26" s="66">
        <v>4196.122011933001</v>
      </c>
      <c r="D26" s="66">
        <v>535.69465242499996</v>
      </c>
      <c r="E26" s="66">
        <v>256.52003925600002</v>
      </c>
      <c r="F26" s="66">
        <v>897.27195615000005</v>
      </c>
      <c r="I26" s="170"/>
      <c r="S26" t="s">
        <v>39</v>
      </c>
      <c r="T26" s="66">
        <f>VLOOKUP(MAX(A34:A39),$A$34:$H$39,8,0)</f>
        <v>180.64662717199997</v>
      </c>
      <c r="U26" s="66">
        <f>VLOOKUP(MAX(A34:A39)-1,$A$34:$H$39,8,0)</f>
        <v>177.22084196100002</v>
      </c>
      <c r="V26" s="190">
        <f t="shared" si="0"/>
        <v>1.9330600019120903E-2</v>
      </c>
    </row>
    <row r="27" spans="1:22" ht="15.5">
      <c r="A27" s="68">
        <v>2024</v>
      </c>
      <c r="B27" s="66">
        <v>7014.3516569320009</v>
      </c>
      <c r="C27" s="66">
        <v>5271.8048414560008</v>
      </c>
      <c r="D27" s="66">
        <v>578.24863886200001</v>
      </c>
      <c r="E27" s="66">
        <v>182.708843605</v>
      </c>
      <c r="F27" s="66">
        <v>981.58933300900003</v>
      </c>
      <c r="S27" t="s">
        <v>129</v>
      </c>
      <c r="T27" s="66">
        <f>VLOOKUP(MAX(A44:A49),$A$44:$F$49,2,0)</f>
        <v>693.7317361559999</v>
      </c>
      <c r="U27" s="66">
        <f>VLOOKUP(MAX(A44:A49)-1,$A$44:$F$49,2,0)</f>
        <v>1287.881430978</v>
      </c>
      <c r="V27" s="191">
        <f t="shared" si="0"/>
        <v>-0.4613388162377734</v>
      </c>
    </row>
    <row r="28" spans="1:22" ht="15.5">
      <c r="A28" s="68">
        <v>2025</v>
      </c>
      <c r="B28" s="66">
        <v>7976.7356944030007</v>
      </c>
      <c r="C28" s="66">
        <v>5883.7408910120012</v>
      </c>
      <c r="D28" s="66">
        <v>550.61952995699994</v>
      </c>
      <c r="E28" s="66">
        <v>249.80122824</v>
      </c>
      <c r="F28" s="66">
        <v>1292.5740451939998</v>
      </c>
      <c r="S28" t="s">
        <v>130</v>
      </c>
      <c r="T28" s="216">
        <f>VLOOKUP(MAX(A44:A49),$A$44:$F$49,3,0)</f>
        <v>105.02055541264991</v>
      </c>
      <c r="U28" s="216">
        <f>VLOOKUP(MAX(A44:A49)-1,$A$44:$F$49,3,0)</f>
        <v>163.10406558248667</v>
      </c>
      <c r="V28" s="190">
        <f t="shared" si="0"/>
        <v>-0.35611319658038909</v>
      </c>
    </row>
    <row r="29" spans="1:22" ht="15.5">
      <c r="A29" s="68">
        <v>2026</v>
      </c>
      <c r="B29" s="66">
        <v>7568.2778212020003</v>
      </c>
      <c r="C29" s="66">
        <v>5812.5919032410011</v>
      </c>
      <c r="D29" s="66">
        <v>578.37900628800003</v>
      </c>
      <c r="E29" s="66">
        <v>242.19039053400002</v>
      </c>
      <c r="F29" s="66">
        <v>935.11652113900004</v>
      </c>
      <c r="S29" t="s">
        <v>131</v>
      </c>
      <c r="T29" s="184">
        <f>VLOOKUP(MAX(A44:A49),$A$44:$F$49,4,0)/100</f>
        <v>1.7326082102297907E-3</v>
      </c>
      <c r="U29" s="184">
        <f>VLOOKUP(MAX(A44:A49)-1,$A$44:$F$49,4,0)/100</f>
        <v>3.4710711552096503E-3</v>
      </c>
      <c r="V29" s="190">
        <f t="shared" si="0"/>
        <v>-0.50084336138446517</v>
      </c>
    </row>
    <row r="30" spans="1:22" ht="15.5">
      <c r="S30" t="s">
        <v>132</v>
      </c>
      <c r="T30" s="184">
        <f>ABS(VLOOKUP(MAX(A54:A130),$A$54:$E$130,4,0))/100</f>
        <v>1.2910648640262406E-2</v>
      </c>
      <c r="U30" s="184">
        <f>ABS(VLOOKUP(MAX(A54:A139)-1,$A$54:$E$139,4,0))/100</f>
        <v>2.0010390621885477E-2</v>
      </c>
      <c r="V30" s="190">
        <f t="shared" si="0"/>
        <v>-0.35480276801083743</v>
      </c>
    </row>
    <row r="31" spans="1:22" ht="15.5">
      <c r="A31" s="67" t="s">
        <v>67</v>
      </c>
      <c r="B31" t="s">
        <v>222</v>
      </c>
      <c r="S31" t="s">
        <v>133</v>
      </c>
      <c r="T31" s="216">
        <f>VLOOKUP(MAX(A44:A49),$A$44:$F$49,5,0)</f>
        <v>81.495867947792576</v>
      </c>
      <c r="U31" s="216">
        <f>VLOOKUP(MAX(A44:A49)-1,$A$44:$F$49,5,0)</f>
        <v>88.787753723345958</v>
      </c>
      <c r="V31" s="190">
        <f t="shared" si="0"/>
        <v>-8.21271568405052E-2</v>
      </c>
    </row>
    <row r="32" spans="1:22" ht="15.5">
      <c r="S32" t="s">
        <v>134</v>
      </c>
      <c r="T32" s="230">
        <f>VLOOKUP(MAX(A44:A49),$A$44:$F$49,6,0)</f>
        <v>23.524687464857355</v>
      </c>
      <c r="U32" s="216">
        <f>VLOOKUP(MAX(A44:A49)-1,$A$44:$F$49,6,0)</f>
        <v>74.316311859140711</v>
      </c>
      <c r="V32" s="190">
        <f t="shared" si="0"/>
        <v>-0.68345189802413642</v>
      </c>
    </row>
    <row r="33" spans="1:22">
      <c r="A33" s="67" t="s">
        <v>174</v>
      </c>
      <c r="B33" t="s">
        <v>113</v>
      </c>
      <c r="C33" t="s">
        <v>114</v>
      </c>
      <c r="D33" t="s">
        <v>115</v>
      </c>
      <c r="E33" t="s">
        <v>105</v>
      </c>
      <c r="F33" t="s">
        <v>106</v>
      </c>
      <c r="G33" t="s">
        <v>116</v>
      </c>
      <c r="H33" t="s">
        <v>107</v>
      </c>
      <c r="S33" t="s">
        <v>135</v>
      </c>
      <c r="T33" s="186">
        <f>+T31/T28</f>
        <v>0.77599920917935128</v>
      </c>
      <c r="U33" s="186">
        <f>+U31/U28</f>
        <v>0.54436260314089657</v>
      </c>
      <c r="V33" s="192"/>
    </row>
    <row r="34" spans="1:22">
      <c r="A34" s="68">
        <v>2021</v>
      </c>
      <c r="B34" s="66">
        <v>5026.4444437820002</v>
      </c>
      <c r="C34" s="66">
        <v>2634.414173657</v>
      </c>
      <c r="D34" s="66">
        <v>447.29703626599996</v>
      </c>
      <c r="E34" s="66">
        <v>347.48209592199998</v>
      </c>
      <c r="F34" s="66">
        <v>571.43455599599997</v>
      </c>
      <c r="G34" s="66">
        <v>980.17106751100005</v>
      </c>
      <c r="H34" s="66">
        <v>45.645514429999999</v>
      </c>
      <c r="S34" t="s">
        <v>136</v>
      </c>
      <c r="T34" s="186">
        <f>+T32/T28</f>
        <v>0.22400079082064886</v>
      </c>
      <c r="U34" s="186">
        <f>+U32/U28</f>
        <v>0.45563739685910343</v>
      </c>
      <c r="V34" s="192"/>
    </row>
    <row r="35" spans="1:22">
      <c r="A35" s="68">
        <v>2022</v>
      </c>
      <c r="B35" s="66">
        <v>5375.9224270900004</v>
      </c>
      <c r="C35" s="66">
        <v>2826.4372838179997</v>
      </c>
      <c r="D35" s="66">
        <v>458.60310703100004</v>
      </c>
      <c r="E35" s="66">
        <v>403.71591021199998</v>
      </c>
      <c r="F35" s="66">
        <v>486.36045295999998</v>
      </c>
      <c r="G35" s="66">
        <v>1105.151743958</v>
      </c>
      <c r="H35" s="66">
        <v>95.653929111000011</v>
      </c>
      <c r="S35" t="s">
        <v>214</v>
      </c>
      <c r="T35" s="66">
        <f>VLOOKUP(MAX($H$4:$H$25),$H$4:$L$25,4,0)</f>
        <v>533.16001527499998</v>
      </c>
      <c r="U35" s="66">
        <f>VLOOKUP(MAX($H$4:$H$25)-1,$H$4:$L$25,4,0)</f>
        <v>897.79346555200004</v>
      </c>
    </row>
    <row r="36" spans="1:22">
      <c r="A36" s="68">
        <v>2023</v>
      </c>
      <c r="B36" s="66">
        <v>6319.3166859350004</v>
      </c>
      <c r="C36" s="66">
        <v>2994.8986018219994</v>
      </c>
      <c r="D36" s="66">
        <v>847.49570436499994</v>
      </c>
      <c r="E36" s="66">
        <v>334.665661855</v>
      </c>
      <c r="F36" s="66">
        <v>677.67778518700004</v>
      </c>
      <c r="G36" s="66">
        <v>1349.998496248</v>
      </c>
      <c r="H36" s="66">
        <v>114.58043645800001</v>
      </c>
    </row>
    <row r="37" spans="1:22" ht="15.5">
      <c r="A37" s="68">
        <v>2024</v>
      </c>
      <c r="B37" s="66">
        <v>6603.5938950380005</v>
      </c>
      <c r="C37" s="66">
        <v>3241.4629749980004</v>
      </c>
      <c r="D37" s="66">
        <v>478.07859653699995</v>
      </c>
      <c r="E37" s="66">
        <v>586.92564637500004</v>
      </c>
      <c r="F37" s="66">
        <v>730.86320555700001</v>
      </c>
      <c r="G37" s="66">
        <v>1436.3113900849999</v>
      </c>
      <c r="H37" s="66">
        <v>129.952081486</v>
      </c>
      <c r="S37" t="s">
        <v>200</v>
      </c>
      <c r="T37" s="221">
        <f>VLOOKUP(MAX(F140:F200),$F$140:$H$200,3,0)</f>
        <v>7424.5123064859999</v>
      </c>
      <c r="U37" s="221">
        <f>VLOOKUP(MAX(F140:F200)-1,$F$140:$H$200,3,0)</f>
        <v>7590.5398619670004</v>
      </c>
      <c r="V37" s="190">
        <f>T37/U37-1</f>
        <v>-2.187295745759732E-2</v>
      </c>
    </row>
    <row r="38" spans="1:22" ht="15.5">
      <c r="A38" s="68">
        <v>2025</v>
      </c>
      <c r="B38" s="66">
        <v>8058.686425191001</v>
      </c>
      <c r="C38" s="66">
        <v>3502.7172934540004</v>
      </c>
      <c r="D38" s="66">
        <v>1015.179560712</v>
      </c>
      <c r="E38" s="66">
        <v>923.02490249100003</v>
      </c>
      <c r="F38" s="66">
        <v>759.67566695499988</v>
      </c>
      <c r="G38" s="66">
        <v>1680.8681596179999</v>
      </c>
      <c r="H38" s="66">
        <v>177.22084196100002</v>
      </c>
      <c r="S38" t="s">
        <v>201</v>
      </c>
      <c r="T38" s="216">
        <f>VLOOKUP(MAX($A$140:$A$226),$A$140:$D$226,4,0)</f>
        <v>967.68584781718789</v>
      </c>
      <c r="U38" s="216">
        <f>VLOOKUP(MAX($A$140:$A$226)-1,$A$140:$D$226,4,0)</f>
        <v>1039.8937898168945</v>
      </c>
      <c r="V38" s="191">
        <f>T37/U37-1</f>
        <v>-2.187295745759732E-2</v>
      </c>
    </row>
    <row r="39" spans="1:22" ht="15.5">
      <c r="A39" s="68">
        <v>2026</v>
      </c>
      <c r="B39" s="66">
        <v>8955.1439406440004</v>
      </c>
      <c r="C39" s="66">
        <v>3817.1137416030001</v>
      </c>
      <c r="D39" s="66">
        <v>816.8573796500001</v>
      </c>
      <c r="E39" s="66">
        <v>1251.662839757</v>
      </c>
      <c r="F39" s="66">
        <v>973.17231305299993</v>
      </c>
      <c r="G39" s="66">
        <v>1915.691039409</v>
      </c>
      <c r="H39" s="66">
        <v>180.64662717199997</v>
      </c>
      <c r="S39" t="s">
        <v>203</v>
      </c>
      <c r="T39" s="216">
        <f>VLOOKUP(MAX(A140:A179),$A$140:$C$179,3,0)</f>
        <v>627.79270162185139</v>
      </c>
      <c r="U39" s="216">
        <f>VLOOKUP(MAX(A140:A179)-1,$A$140:$C$179,3,0)</f>
        <v>818.99254791984254</v>
      </c>
      <c r="V39" s="191">
        <f t="shared" ref="V39" si="1">IFERROR(T39/U39-1,0)</f>
        <v>-0.23345737001346256</v>
      </c>
    </row>
    <row r="41" spans="1:22">
      <c r="A41" s="67" t="s">
        <v>67</v>
      </c>
      <c r="B41" t="s">
        <v>222</v>
      </c>
      <c r="T41" s="220">
        <f>T38-T39</f>
        <v>339.8931461953365</v>
      </c>
      <c r="U41" s="220">
        <f>U38-U39</f>
        <v>220.90124189705193</v>
      </c>
    </row>
    <row r="43" spans="1:22" ht="29">
      <c r="A43" s="67" t="s">
        <v>174</v>
      </c>
      <c r="B43" t="s">
        <v>117</v>
      </c>
      <c r="C43" t="s">
        <v>137</v>
      </c>
      <c r="D43" s="72" t="s">
        <v>118</v>
      </c>
      <c r="E43" t="s">
        <v>119</v>
      </c>
      <c r="F43" t="s">
        <v>120</v>
      </c>
      <c r="T43" s="71">
        <f>T31/T28</f>
        <v>0.77599920917935128</v>
      </c>
    </row>
    <row r="44" spans="1:22">
      <c r="A44" s="68">
        <v>2021</v>
      </c>
      <c r="B44" s="66">
        <v>608.07870968899999</v>
      </c>
      <c r="C44" s="65">
        <v>89.085791611206531</v>
      </c>
      <c r="D44" s="66">
        <v>0.2247630162322001</v>
      </c>
      <c r="E44" s="65">
        <v>80.329327875577292</v>
      </c>
      <c r="F44" s="65">
        <v>8.756463735629227</v>
      </c>
      <c r="T44" s="71">
        <f>1-T43</f>
        <v>0.22400079082064872</v>
      </c>
    </row>
    <row r="45" spans="1:22">
      <c r="A45" s="68">
        <v>2022</v>
      </c>
      <c r="B45" s="66">
        <v>854.7386685099998</v>
      </c>
      <c r="C45" s="65">
        <v>122.63453569945888</v>
      </c>
      <c r="D45" s="66">
        <v>0.29255165598296634</v>
      </c>
      <c r="E45" s="65">
        <v>112.9828658522824</v>
      </c>
      <c r="F45" s="65">
        <v>9.6516698471764713</v>
      </c>
    </row>
    <row r="46" spans="1:22">
      <c r="A46" s="68">
        <v>2023</v>
      </c>
      <c r="B46" s="66">
        <v>895.76128471999994</v>
      </c>
      <c r="C46" s="65">
        <v>122.29713240700585</v>
      </c>
      <c r="D46" s="66">
        <v>0.28487027398577275</v>
      </c>
      <c r="E46" s="65">
        <v>109.77721209295635</v>
      </c>
      <c r="F46" s="65">
        <v>12.5199203140495</v>
      </c>
      <c r="I46" s="170"/>
    </row>
    <row r="47" spans="1:22">
      <c r="A47" s="68">
        <v>2024</v>
      </c>
      <c r="B47" s="66">
        <v>221.86562636500003</v>
      </c>
      <c r="C47" s="65">
        <v>30.456360204494757</v>
      </c>
      <c r="D47" s="66">
        <v>6.5594810967324016E-2</v>
      </c>
      <c r="E47" s="65">
        <v>17.492485136686682</v>
      </c>
      <c r="F47" s="65">
        <v>12.963875067808077</v>
      </c>
      <c r="J47" s="170"/>
    </row>
    <row r="48" spans="1:22">
      <c r="A48" s="68">
        <v>2025</v>
      </c>
      <c r="B48" s="66">
        <v>1287.881430978</v>
      </c>
      <c r="C48" s="65">
        <v>163.10406558248667</v>
      </c>
      <c r="D48" s="66">
        <v>0.34710711552096501</v>
      </c>
      <c r="E48" s="65">
        <v>88.787753723345958</v>
      </c>
      <c r="F48" s="65">
        <v>74.316311859140711</v>
      </c>
    </row>
    <row r="49" spans="1:17">
      <c r="A49" s="68">
        <v>2026</v>
      </c>
      <c r="B49" s="66">
        <v>693.7317361559999</v>
      </c>
      <c r="C49" s="65">
        <v>105.02055541264991</v>
      </c>
      <c r="D49" s="66">
        <v>0.17326082102297907</v>
      </c>
      <c r="E49" s="65">
        <v>81.495867947792576</v>
      </c>
      <c r="F49" s="65">
        <v>23.524687464857355</v>
      </c>
    </row>
    <row r="51" spans="1:17">
      <c r="A51" s="67" t="s">
        <v>67</v>
      </c>
      <c r="B51" t="s">
        <v>222</v>
      </c>
      <c r="G51" s="67" t="s">
        <v>67</v>
      </c>
      <c r="H51" t="s">
        <v>222</v>
      </c>
    </row>
    <row r="52" spans="1:17">
      <c r="M52" s="67" t="s">
        <v>67</v>
      </c>
      <c r="N52" t="s">
        <v>222</v>
      </c>
    </row>
    <row r="53" spans="1:17" ht="43.5">
      <c r="A53" s="67" t="s">
        <v>68</v>
      </c>
      <c r="B53" s="67" t="s">
        <v>97</v>
      </c>
      <c r="C53" s="72" t="s">
        <v>121</v>
      </c>
      <c r="D53" s="72" t="s">
        <v>122</v>
      </c>
      <c r="E53" s="72" t="s">
        <v>123</v>
      </c>
      <c r="G53" s="67" t="s">
        <v>68</v>
      </c>
      <c r="H53" s="67" t="s">
        <v>97</v>
      </c>
      <c r="I53" t="s">
        <v>197</v>
      </c>
      <c r="J53" t="s">
        <v>195</v>
      </c>
    </row>
    <row r="54" spans="1:17">
      <c r="A54">
        <v>2021</v>
      </c>
      <c r="B54" s="69">
        <v>2</v>
      </c>
      <c r="C54" s="66">
        <v>-1.9854567272060868</v>
      </c>
      <c r="D54" s="66">
        <v>3.2523447915136248</v>
      </c>
      <c r="E54" s="66">
        <v>-5.2378015187197109</v>
      </c>
      <c r="G54">
        <v>2021</v>
      </c>
      <c r="H54" s="69">
        <v>2</v>
      </c>
      <c r="I54" s="66">
        <v>-799.02795861134098</v>
      </c>
      <c r="J54" s="66">
        <v>-2087.8332894796749</v>
      </c>
      <c r="M54" s="67" t="s">
        <v>68</v>
      </c>
      <c r="N54" s="67" t="s">
        <v>97</v>
      </c>
      <c r="O54" t="s">
        <v>175</v>
      </c>
      <c r="P54" t="s">
        <v>176</v>
      </c>
      <c r="Q54" t="s">
        <v>110</v>
      </c>
    </row>
    <row r="55" spans="1:17">
      <c r="A55">
        <v>2021</v>
      </c>
      <c r="B55" s="69">
        <v>1</v>
      </c>
      <c r="C55" s="66">
        <v>-1.9554196440791007</v>
      </c>
      <c r="D55" s="66">
        <v>3.279316227876742</v>
      </c>
      <c r="E55" s="66">
        <v>-5.2347358719558432</v>
      </c>
      <c r="G55">
        <v>2021</v>
      </c>
      <c r="H55" s="69">
        <v>1</v>
      </c>
      <c r="I55" s="66">
        <v>-786.51124431854475</v>
      </c>
      <c r="J55" s="66">
        <v>-2087.6874145614274</v>
      </c>
      <c r="M55">
        <v>2021</v>
      </c>
      <c r="N55" s="69">
        <v>2</v>
      </c>
      <c r="O55" s="66">
        <v>4.4862911184578528E-3</v>
      </c>
      <c r="P55" s="66">
        <v>9.4949403552689382E-2</v>
      </c>
      <c r="Q55" s="66">
        <v>-9.0463112434231538E-2</v>
      </c>
    </row>
    <row r="56" spans="1:17">
      <c r="A56">
        <v>2022</v>
      </c>
      <c r="B56" s="69">
        <v>2</v>
      </c>
      <c r="C56" s="66">
        <v>-0.7572836705221625</v>
      </c>
      <c r="D56" s="66">
        <v>2.7805562748881067</v>
      </c>
      <c r="E56" s="66">
        <v>-3.5378399454102691</v>
      </c>
      <c r="G56">
        <v>2022</v>
      </c>
      <c r="H56" s="69">
        <v>2</v>
      </c>
      <c r="I56" s="66">
        <v>-327.12354264265701</v>
      </c>
      <c r="J56" s="66">
        <v>-1521.8702839373198</v>
      </c>
      <c r="M56">
        <v>2021</v>
      </c>
      <c r="N56" s="69">
        <v>1</v>
      </c>
      <c r="O56" s="66">
        <v>0.31380319461026879</v>
      </c>
      <c r="P56" s="66">
        <v>0.12981361267951072</v>
      </c>
      <c r="Q56" s="66">
        <v>0.18398958193075807</v>
      </c>
    </row>
    <row r="57" spans="1:17">
      <c r="A57">
        <v>2022</v>
      </c>
      <c r="B57" s="69">
        <v>1</v>
      </c>
      <c r="C57" s="66">
        <v>-0.7909807795829239</v>
      </c>
      <c r="D57" s="66">
        <v>2.6274076129537063</v>
      </c>
      <c r="E57" s="66">
        <v>-3.4183883925366301</v>
      </c>
      <c r="G57">
        <v>2022</v>
      </c>
      <c r="H57" s="69">
        <v>1</v>
      </c>
      <c r="I57" s="66">
        <v>-341.19344402078883</v>
      </c>
      <c r="J57" s="66">
        <v>-1473.0410415566998</v>
      </c>
      <c r="M57">
        <v>2022</v>
      </c>
      <c r="N57" s="69">
        <v>2</v>
      </c>
      <c r="O57" s="66">
        <v>3.7851349290090049E-2</v>
      </c>
      <c r="P57" s="66">
        <v>0.24107042661135281</v>
      </c>
      <c r="Q57" s="66">
        <v>-0.20321907732126274</v>
      </c>
    </row>
    <row r="58" spans="1:17">
      <c r="A58">
        <v>2023</v>
      </c>
      <c r="B58" s="69">
        <v>2</v>
      </c>
      <c r="C58" s="66">
        <v>-0.39632879919875175</v>
      </c>
      <c r="D58" s="66">
        <v>2.6778565406955375</v>
      </c>
      <c r="E58" s="66">
        <v>-3.07418533989429</v>
      </c>
      <c r="G58">
        <v>2023</v>
      </c>
      <c r="H58" s="69">
        <v>2</v>
      </c>
      <c r="I58" s="66">
        <v>-159.05804132190755</v>
      </c>
      <c r="J58" s="66">
        <v>-1353.8257223770315</v>
      </c>
      <c r="M58">
        <v>2022</v>
      </c>
      <c r="N58" s="69">
        <v>1</v>
      </c>
      <c r="O58" s="66">
        <v>0.16680757077559202</v>
      </c>
      <c r="P58" s="66">
        <v>5.1481229371613549E-2</v>
      </c>
      <c r="Q58" s="66">
        <v>0.11532634140397847</v>
      </c>
    </row>
    <row r="59" spans="1:17">
      <c r="A59">
        <v>2023</v>
      </c>
      <c r="B59" s="69">
        <v>1</v>
      </c>
      <c r="C59" s="66">
        <v>-0.20412158983611428</v>
      </c>
      <c r="D59" s="66">
        <v>2.731555063923353</v>
      </c>
      <c r="E59" s="66">
        <v>-2.9356766537594678</v>
      </c>
      <c r="G59">
        <v>2023</v>
      </c>
      <c r="H59" s="69">
        <v>1</v>
      </c>
      <c r="I59" s="66">
        <v>-75.465664395214375</v>
      </c>
      <c r="J59" s="66">
        <v>-1297.9078327220973</v>
      </c>
      <c r="M59">
        <v>2023</v>
      </c>
      <c r="N59" s="69">
        <v>2</v>
      </c>
      <c r="O59" s="66">
        <v>-0.15703764394844774</v>
      </c>
      <c r="P59" s="66">
        <v>0.17029196316560727</v>
      </c>
      <c r="Q59" s="66">
        <v>-0.32732960711405501</v>
      </c>
    </row>
    <row r="60" spans="1:17">
      <c r="A60">
        <v>2024</v>
      </c>
      <c r="B60" s="69">
        <v>2</v>
      </c>
      <c r="C60" s="66">
        <v>-1.0995703470103191</v>
      </c>
      <c r="D60" s="66">
        <v>2.2441512709433762</v>
      </c>
      <c r="E60" s="66">
        <v>-3.3437216179536953</v>
      </c>
      <c r="G60">
        <v>2024</v>
      </c>
      <c r="H60" s="69">
        <v>2</v>
      </c>
      <c r="I60" s="66">
        <v>-507.11785938269333</v>
      </c>
      <c r="J60" s="66">
        <v>-1547.0116491995877</v>
      </c>
      <c r="M60">
        <v>2023</v>
      </c>
      <c r="N60" s="69">
        <v>1</v>
      </c>
      <c r="O60" s="66">
        <v>1.910968663135839E-2</v>
      </c>
      <c r="P60" s="66">
        <v>0.11457831082016547</v>
      </c>
      <c r="Q60" s="66">
        <v>-9.5468624188807069E-2</v>
      </c>
    </row>
    <row r="61" spans="1:17">
      <c r="A61">
        <v>2024</v>
      </c>
      <c r="B61" s="69">
        <v>1</v>
      </c>
      <c r="C61" s="66">
        <v>-1.070646704302153</v>
      </c>
      <c r="D61" s="66">
        <v>2.3478217140429991</v>
      </c>
      <c r="E61" s="66">
        <v>-3.418468418345153</v>
      </c>
      <c r="G61">
        <v>2024</v>
      </c>
      <c r="H61" s="69">
        <v>1</v>
      </c>
      <c r="I61" s="66">
        <v>-493.62378270876468</v>
      </c>
      <c r="J61" s="66">
        <v>-1581.5799322938935</v>
      </c>
      <c r="M61">
        <v>2024</v>
      </c>
      <c r="N61" s="69">
        <v>2</v>
      </c>
      <c r="O61" s="66">
        <v>-0.17491541752552847</v>
      </c>
      <c r="P61" s="66">
        <v>5.4643355519523706E-2</v>
      </c>
      <c r="Q61" s="66">
        <v>-0.22955877304505218</v>
      </c>
    </row>
    <row r="62" spans="1:17">
      <c r="A62">
        <v>2025</v>
      </c>
      <c r="B62" s="69">
        <v>2</v>
      </c>
      <c r="C62" s="66">
        <v>-0.73163217524582125</v>
      </c>
      <c r="D62" s="66">
        <v>2.0010390621885477</v>
      </c>
      <c r="E62" s="66">
        <v>-2.7326712374343689</v>
      </c>
      <c r="G62">
        <v>2025</v>
      </c>
      <c r="H62" s="69">
        <v>2</v>
      </c>
      <c r="I62" s="66">
        <v>-347.82852692820677</v>
      </c>
      <c r="J62" s="66">
        <v>-1315.5143747453947</v>
      </c>
      <c r="M62">
        <v>2024</v>
      </c>
      <c r="N62" s="69">
        <v>1</v>
      </c>
      <c r="O62" s="66">
        <v>0.29635639144400339</v>
      </c>
      <c r="P62" s="66">
        <v>1.0951455447800306E-2</v>
      </c>
      <c r="Q62" s="66">
        <v>0.28540493599620309</v>
      </c>
    </row>
    <row r="63" spans="1:17">
      <c r="A63">
        <v>2025</v>
      </c>
      <c r="B63" s="69">
        <v>1</v>
      </c>
      <c r="C63" s="66">
        <v>-0.82841849088088915</v>
      </c>
      <c r="D63" s="66">
        <v>1.8061628122951412</v>
      </c>
      <c r="E63" s="66">
        <v>-2.6345813031760303</v>
      </c>
      <c r="G63">
        <v>2025</v>
      </c>
      <c r="H63" s="69">
        <v>1</v>
      </c>
      <c r="I63" s="66">
        <v>-399.59766066073098</v>
      </c>
      <c r="J63" s="66">
        <v>-1277.695928053075</v>
      </c>
      <c r="M63">
        <v>2025</v>
      </c>
      <c r="N63" s="69">
        <v>2</v>
      </c>
      <c r="O63" s="66">
        <v>-6.2667994722949844E-2</v>
      </c>
      <c r="P63" s="66">
        <v>0.24468957506093769</v>
      </c>
      <c r="Q63" s="66">
        <v>-0.30735756978388751</v>
      </c>
    </row>
    <row r="64" spans="1:17">
      <c r="A64">
        <v>2026</v>
      </c>
      <c r="B64" s="69">
        <v>2</v>
      </c>
      <c r="C64" s="66">
        <v>-0.74303572996741274</v>
      </c>
      <c r="D64" s="66">
        <v>1.2910648640262405</v>
      </c>
      <c r="E64" s="66">
        <v>-2.0341005939936534</v>
      </c>
      <c r="G64">
        <v>2026</v>
      </c>
      <c r="H64" s="69">
        <v>2</v>
      </c>
      <c r="I64" s="66">
        <v>-474.64178772591993</v>
      </c>
      <c r="J64" s="66">
        <v>-1183.3178138113217</v>
      </c>
      <c r="M64">
        <v>2025</v>
      </c>
      <c r="N64" s="69">
        <v>1</v>
      </c>
      <c r="O64" s="66">
        <v>4.0580804788813984E-2</v>
      </c>
      <c r="P64" s="66">
        <v>0.10241754046002732</v>
      </c>
      <c r="Q64" s="66">
        <v>-6.1836735671213325E-2</v>
      </c>
    </row>
    <row r="65" spans="1:17">
      <c r="A65">
        <v>2026</v>
      </c>
      <c r="B65" s="69">
        <v>1</v>
      </c>
      <c r="C65" s="66">
        <v>-0.52576238308948198</v>
      </c>
      <c r="D65" s="66">
        <v>1.4313903753875672</v>
      </c>
      <c r="E65" s="66">
        <v>-1.9571527584770492</v>
      </c>
      <c r="G65">
        <v>2026</v>
      </c>
      <c r="H65" s="69">
        <v>1</v>
      </c>
      <c r="I65" s="66">
        <v>-335.13947997616242</v>
      </c>
      <c r="J65" s="66">
        <v>-1105.7490795162516</v>
      </c>
      <c r="M65">
        <v>2026</v>
      </c>
      <c r="N65" s="69">
        <v>2</v>
      </c>
      <c r="O65" s="66">
        <v>-0.27534537162677858</v>
      </c>
      <c r="P65" s="66">
        <v>8.6418923681527759E-2</v>
      </c>
      <c r="Q65" s="66">
        <v>-0.36176429530830634</v>
      </c>
    </row>
    <row r="66" spans="1:17">
      <c r="M66">
        <v>2026</v>
      </c>
      <c r="N66" s="69">
        <v>1</v>
      </c>
      <c r="O66" s="66">
        <v>-7.1027080403352719E-2</v>
      </c>
      <c r="P66" s="66">
        <v>8.6841897341451313E-2</v>
      </c>
      <c r="Q66" s="66">
        <v>-0.15786897774480402</v>
      </c>
    </row>
    <row r="137" spans="1:22">
      <c r="A137" s="67" t="s">
        <v>67</v>
      </c>
      <c r="B137" t="s">
        <v>222</v>
      </c>
      <c r="F137" s="67" t="s">
        <v>67</v>
      </c>
      <c r="G137" t="s">
        <v>222</v>
      </c>
    </row>
    <row r="139" spans="1:22">
      <c r="A139" s="67" t="s">
        <v>68</v>
      </c>
      <c r="B139" s="67" t="s">
        <v>97</v>
      </c>
      <c r="C139" t="s">
        <v>202</v>
      </c>
      <c r="D139" t="s">
        <v>205</v>
      </c>
      <c r="F139" s="67" t="s">
        <v>68</v>
      </c>
      <c r="G139" s="67" t="s">
        <v>97</v>
      </c>
      <c r="H139" t="s">
        <v>108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>
      <c r="A140">
        <v>2021</v>
      </c>
      <c r="B140" s="69">
        <v>2</v>
      </c>
      <c r="C140" s="66">
        <v>1053.1322847108793</v>
      </c>
      <c r="D140" s="66">
        <v>1288.8053308683336</v>
      </c>
      <c r="F140">
        <v>2021</v>
      </c>
      <c r="G140" s="69">
        <v>2</v>
      </c>
      <c r="H140" s="66">
        <v>8798.9637149388673</v>
      </c>
    </row>
    <row r="141" spans="1:22">
      <c r="A141">
        <v>2021</v>
      </c>
      <c r="B141" s="69">
        <v>1</v>
      </c>
      <c r="C141" s="66">
        <v>1059.6970639411622</v>
      </c>
      <c r="D141" s="66">
        <v>1301.1761702428826</v>
      </c>
      <c r="F141">
        <v>2021</v>
      </c>
      <c r="G141" s="69">
        <v>1</v>
      </c>
      <c r="H141" s="66">
        <v>8871.9328203418663</v>
      </c>
    </row>
    <row r="142" spans="1:22">
      <c r="A142">
        <v>2022</v>
      </c>
      <c r="B142" s="69">
        <v>2</v>
      </c>
      <c r="C142" s="66">
        <v>926.41725765913588</v>
      </c>
      <c r="D142" s="66">
        <v>1194.7467412946628</v>
      </c>
      <c r="F142">
        <v>2022</v>
      </c>
      <c r="G142" s="69">
        <v>2</v>
      </c>
      <c r="H142" s="66">
        <v>8123.8609302329996</v>
      </c>
    </row>
    <row r="143" spans="1:22">
      <c r="A143">
        <v>2022</v>
      </c>
      <c r="B143" s="69">
        <v>1</v>
      </c>
      <c r="C143" s="66">
        <v>862.98822388852909</v>
      </c>
      <c r="D143" s="66">
        <v>1131.8475975359106</v>
      </c>
      <c r="F143">
        <v>2022</v>
      </c>
      <c r="G143" s="69">
        <v>1</v>
      </c>
      <c r="H143" s="66">
        <v>7676.4114603399994</v>
      </c>
    </row>
    <row r="144" spans="1:22">
      <c r="A144">
        <v>2023</v>
      </c>
      <c r="B144" s="69">
        <v>2</v>
      </c>
      <c r="C144" s="66">
        <v>826.45494089268846</v>
      </c>
      <c r="D144" s="66">
        <v>1194.7676810551238</v>
      </c>
      <c r="F144">
        <v>2023</v>
      </c>
      <c r="G144" s="69">
        <v>2</v>
      </c>
      <c r="H144" s="66">
        <v>8420.3949454869726</v>
      </c>
    </row>
    <row r="145" spans="1:8">
      <c r="A145">
        <v>2023</v>
      </c>
      <c r="B145" s="69">
        <v>1</v>
      </c>
      <c r="C145" s="66">
        <v>855.27072588603892</v>
      </c>
      <c r="D145" s="66">
        <v>1222.4421683268827</v>
      </c>
      <c r="F145">
        <v>2023</v>
      </c>
      <c r="G145" s="69">
        <v>1</v>
      </c>
      <c r="H145" s="66">
        <v>8589.2474462449736</v>
      </c>
    </row>
    <row r="146" spans="1:8">
      <c r="A146">
        <v>2024</v>
      </c>
      <c r="B146" s="69">
        <v>2</v>
      </c>
      <c r="C146" s="66">
        <v>818.99254791984254</v>
      </c>
      <c r="D146" s="66">
        <v>1039.8937898168945</v>
      </c>
      <c r="F146">
        <v>2024</v>
      </c>
      <c r="G146" s="69">
        <v>2</v>
      </c>
      <c r="H146" s="66">
        <v>7590.5398619670004</v>
      </c>
    </row>
    <row r="147" spans="1:8">
      <c r="A147">
        <v>2024</v>
      </c>
      <c r="B147" s="69">
        <v>1</v>
      </c>
      <c r="C147" s="66">
        <v>867.89565939354156</v>
      </c>
      <c r="D147" s="66">
        <v>1087.9561495851285</v>
      </c>
      <c r="F147">
        <v>2024</v>
      </c>
      <c r="G147" s="69">
        <v>1</v>
      </c>
      <c r="H147" s="66">
        <v>7941.1911932939993</v>
      </c>
    </row>
    <row r="148" spans="1:8">
      <c r="A148">
        <v>2025</v>
      </c>
      <c r="B148" s="69">
        <v>2</v>
      </c>
      <c r="C148" s="66">
        <v>627.79270162185139</v>
      </c>
      <c r="D148" s="66">
        <v>967.68584781718789</v>
      </c>
      <c r="F148">
        <v>2025</v>
      </c>
      <c r="G148" s="69">
        <v>2</v>
      </c>
      <c r="H148" s="66">
        <v>7424.5123064859999</v>
      </c>
    </row>
    <row r="149" spans="1:8">
      <c r="A149">
        <v>2025</v>
      </c>
      <c r="B149" s="69">
        <v>1</v>
      </c>
      <c r="C149" s="66">
        <v>592.95894562637079</v>
      </c>
      <c r="D149" s="66">
        <v>878.09826739234381</v>
      </c>
      <c r="F149">
        <v>2025</v>
      </c>
      <c r="G149" s="69">
        <v>1</v>
      </c>
      <c r="H149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KC123"/>
  <sheetViews>
    <sheetView workbookViewId="0">
      <pane xSplit="1" ySplit="1" topLeftCell="JN2" activePane="bottomRight" state="frozen"/>
      <selection activeCell="C59" sqref="C59"/>
      <selection pane="topRight" activeCell="C59" sqref="C59"/>
      <selection pane="bottomLeft" activeCell="C59" sqref="C59"/>
      <selection pane="bottomRight" activeCell="C59" sqref="C59"/>
    </sheetView>
  </sheetViews>
  <sheetFormatPr baseColWidth="10" defaultColWidth="11.54296875" defaultRowHeight="14.5"/>
  <cols>
    <col min="1" max="1" width="50.54296875" customWidth="1"/>
    <col min="2" max="12" width="12.54296875" customWidth="1"/>
    <col min="22" max="22" width="12" bestFit="1" customWidth="1"/>
    <col min="34" max="34" width="12" bestFit="1" customWidth="1"/>
    <col min="46" max="46" width="12" bestFit="1" customWidth="1"/>
    <col min="153" max="153" width="8.1796875" bestFit="1" customWidth="1"/>
    <col min="154" max="154" width="12" bestFit="1" customWidth="1"/>
    <col min="183" max="183" width="11.453125" customWidth="1"/>
    <col min="194" max="198" width="12.1796875" bestFit="1" customWidth="1"/>
    <col min="242" max="254" width="11.54296875" customWidth="1"/>
    <col min="255" max="255" width="12.54296875" customWidth="1"/>
    <col min="498" max="498" width="50.54296875" customWidth="1"/>
    <col min="499" max="499" width="6" customWidth="1"/>
    <col min="500" max="500" width="12.453125" customWidth="1"/>
    <col min="501" max="511" width="12.54296875" customWidth="1"/>
    <col min="754" max="754" width="50.54296875" customWidth="1"/>
    <col min="755" max="755" width="6" customWidth="1"/>
    <col min="756" max="756" width="12.453125" customWidth="1"/>
    <col min="757" max="767" width="12.54296875" customWidth="1"/>
    <col min="1010" max="1010" width="50.54296875" customWidth="1"/>
    <col min="1011" max="1011" width="6" customWidth="1"/>
    <col min="1012" max="1012" width="12.453125" customWidth="1"/>
    <col min="1013" max="1023" width="12.54296875" customWidth="1"/>
    <col min="1266" max="1266" width="50.54296875" customWidth="1"/>
    <col min="1267" max="1267" width="6" customWidth="1"/>
    <col min="1268" max="1268" width="12.453125" customWidth="1"/>
    <col min="1269" max="1279" width="12.54296875" customWidth="1"/>
    <col min="1522" max="1522" width="50.54296875" customWidth="1"/>
    <col min="1523" max="1523" width="6" customWidth="1"/>
    <col min="1524" max="1524" width="12.453125" customWidth="1"/>
    <col min="1525" max="1535" width="12.54296875" customWidth="1"/>
    <col min="1778" max="1778" width="50.54296875" customWidth="1"/>
    <col min="1779" max="1779" width="6" customWidth="1"/>
    <col min="1780" max="1780" width="12.453125" customWidth="1"/>
    <col min="1781" max="1791" width="12.54296875" customWidth="1"/>
    <col min="2034" max="2034" width="50.54296875" customWidth="1"/>
    <col min="2035" max="2035" width="6" customWidth="1"/>
    <col min="2036" max="2036" width="12.453125" customWidth="1"/>
    <col min="2037" max="2047" width="12.54296875" customWidth="1"/>
    <col min="2290" max="2290" width="50.54296875" customWidth="1"/>
    <col min="2291" max="2291" width="6" customWidth="1"/>
    <col min="2292" max="2292" width="12.453125" customWidth="1"/>
    <col min="2293" max="2303" width="12.54296875" customWidth="1"/>
    <col min="2546" max="2546" width="50.54296875" customWidth="1"/>
    <col min="2547" max="2547" width="6" customWidth="1"/>
    <col min="2548" max="2548" width="12.453125" customWidth="1"/>
    <col min="2549" max="2559" width="12.54296875" customWidth="1"/>
    <col min="2802" max="2802" width="50.54296875" customWidth="1"/>
    <col min="2803" max="2803" width="6" customWidth="1"/>
    <col min="2804" max="2804" width="12.453125" customWidth="1"/>
    <col min="2805" max="2815" width="12.54296875" customWidth="1"/>
    <col min="3058" max="3058" width="50.54296875" customWidth="1"/>
    <col min="3059" max="3059" width="6" customWidth="1"/>
    <col min="3060" max="3060" width="12.453125" customWidth="1"/>
    <col min="3061" max="3071" width="12.54296875" customWidth="1"/>
    <col min="3314" max="3314" width="50.54296875" customWidth="1"/>
    <col min="3315" max="3315" width="6" customWidth="1"/>
    <col min="3316" max="3316" width="12.453125" customWidth="1"/>
    <col min="3317" max="3327" width="12.54296875" customWidth="1"/>
    <col min="3570" max="3570" width="50.54296875" customWidth="1"/>
    <col min="3571" max="3571" width="6" customWidth="1"/>
    <col min="3572" max="3572" width="12.453125" customWidth="1"/>
    <col min="3573" max="3583" width="12.54296875" customWidth="1"/>
    <col min="3826" max="3826" width="50.54296875" customWidth="1"/>
    <col min="3827" max="3827" width="6" customWidth="1"/>
    <col min="3828" max="3828" width="12.453125" customWidth="1"/>
    <col min="3829" max="3839" width="12.54296875" customWidth="1"/>
    <col min="4082" max="4082" width="50.54296875" customWidth="1"/>
    <col min="4083" max="4083" width="6" customWidth="1"/>
    <col min="4084" max="4084" width="12.453125" customWidth="1"/>
    <col min="4085" max="4095" width="12.54296875" customWidth="1"/>
    <col min="4338" max="4338" width="50.54296875" customWidth="1"/>
    <col min="4339" max="4339" width="6" customWidth="1"/>
    <col min="4340" max="4340" width="12.453125" customWidth="1"/>
    <col min="4341" max="4351" width="12.54296875" customWidth="1"/>
    <col min="4594" max="4594" width="50.54296875" customWidth="1"/>
    <col min="4595" max="4595" width="6" customWidth="1"/>
    <col min="4596" max="4596" width="12.453125" customWidth="1"/>
    <col min="4597" max="4607" width="12.54296875" customWidth="1"/>
    <col min="4850" max="4850" width="50.54296875" customWidth="1"/>
    <col min="4851" max="4851" width="6" customWidth="1"/>
    <col min="4852" max="4852" width="12.453125" customWidth="1"/>
    <col min="4853" max="4863" width="12.54296875" customWidth="1"/>
    <col min="5106" max="5106" width="50.54296875" customWidth="1"/>
    <col min="5107" max="5107" width="6" customWidth="1"/>
    <col min="5108" max="5108" width="12.453125" customWidth="1"/>
    <col min="5109" max="5119" width="12.54296875" customWidth="1"/>
    <col min="5362" max="5362" width="50.54296875" customWidth="1"/>
    <col min="5363" max="5363" width="6" customWidth="1"/>
    <col min="5364" max="5364" width="12.453125" customWidth="1"/>
    <col min="5365" max="5375" width="12.54296875" customWidth="1"/>
    <col min="5618" max="5618" width="50.54296875" customWidth="1"/>
    <col min="5619" max="5619" width="6" customWidth="1"/>
    <col min="5620" max="5620" width="12.453125" customWidth="1"/>
    <col min="5621" max="5631" width="12.54296875" customWidth="1"/>
    <col min="5874" max="5874" width="50.54296875" customWidth="1"/>
    <col min="5875" max="5875" width="6" customWidth="1"/>
    <col min="5876" max="5876" width="12.453125" customWidth="1"/>
    <col min="5877" max="5887" width="12.54296875" customWidth="1"/>
    <col min="6130" max="6130" width="50.54296875" customWidth="1"/>
    <col min="6131" max="6131" width="6" customWidth="1"/>
    <col min="6132" max="6132" width="12.453125" customWidth="1"/>
    <col min="6133" max="6143" width="12.54296875" customWidth="1"/>
    <col min="6386" max="6386" width="50.54296875" customWidth="1"/>
    <col min="6387" max="6387" width="6" customWidth="1"/>
    <col min="6388" max="6388" width="12.453125" customWidth="1"/>
    <col min="6389" max="6399" width="12.54296875" customWidth="1"/>
    <col min="6642" max="6642" width="50.54296875" customWidth="1"/>
    <col min="6643" max="6643" width="6" customWidth="1"/>
    <col min="6644" max="6644" width="12.453125" customWidth="1"/>
    <col min="6645" max="6655" width="12.54296875" customWidth="1"/>
    <col min="6898" max="6898" width="50.54296875" customWidth="1"/>
    <col min="6899" max="6899" width="6" customWidth="1"/>
    <col min="6900" max="6900" width="12.453125" customWidth="1"/>
    <col min="6901" max="6911" width="12.54296875" customWidth="1"/>
    <col min="7154" max="7154" width="50.54296875" customWidth="1"/>
    <col min="7155" max="7155" width="6" customWidth="1"/>
    <col min="7156" max="7156" width="12.453125" customWidth="1"/>
    <col min="7157" max="7167" width="12.54296875" customWidth="1"/>
    <col min="7410" max="7410" width="50.54296875" customWidth="1"/>
    <col min="7411" max="7411" width="6" customWidth="1"/>
    <col min="7412" max="7412" width="12.453125" customWidth="1"/>
    <col min="7413" max="7423" width="12.54296875" customWidth="1"/>
    <col min="7666" max="7666" width="50.54296875" customWidth="1"/>
    <col min="7667" max="7667" width="6" customWidth="1"/>
    <col min="7668" max="7668" width="12.453125" customWidth="1"/>
    <col min="7669" max="7679" width="12.54296875" customWidth="1"/>
    <col min="7922" max="7922" width="50.54296875" customWidth="1"/>
    <col min="7923" max="7923" width="6" customWidth="1"/>
    <col min="7924" max="7924" width="12.453125" customWidth="1"/>
    <col min="7925" max="7935" width="12.54296875" customWidth="1"/>
    <col min="8178" max="8178" width="50.54296875" customWidth="1"/>
    <col min="8179" max="8179" width="6" customWidth="1"/>
    <col min="8180" max="8180" width="12.453125" customWidth="1"/>
    <col min="8181" max="8191" width="12.54296875" customWidth="1"/>
    <col min="8434" max="8434" width="50.54296875" customWidth="1"/>
    <col min="8435" max="8435" width="6" customWidth="1"/>
    <col min="8436" max="8436" width="12.453125" customWidth="1"/>
    <col min="8437" max="8447" width="12.54296875" customWidth="1"/>
    <col min="8690" max="8690" width="50.54296875" customWidth="1"/>
    <col min="8691" max="8691" width="6" customWidth="1"/>
    <col min="8692" max="8692" width="12.453125" customWidth="1"/>
    <col min="8693" max="8703" width="12.54296875" customWidth="1"/>
    <col min="8946" max="8946" width="50.54296875" customWidth="1"/>
    <col min="8947" max="8947" width="6" customWidth="1"/>
    <col min="8948" max="8948" width="12.453125" customWidth="1"/>
    <col min="8949" max="8959" width="12.54296875" customWidth="1"/>
    <col min="9202" max="9202" width="50.54296875" customWidth="1"/>
    <col min="9203" max="9203" width="6" customWidth="1"/>
    <col min="9204" max="9204" width="12.453125" customWidth="1"/>
    <col min="9205" max="9215" width="12.54296875" customWidth="1"/>
    <col min="9458" max="9458" width="50.54296875" customWidth="1"/>
    <col min="9459" max="9459" width="6" customWidth="1"/>
    <col min="9460" max="9460" width="12.453125" customWidth="1"/>
    <col min="9461" max="9471" width="12.54296875" customWidth="1"/>
    <col min="9714" max="9714" width="50.54296875" customWidth="1"/>
    <col min="9715" max="9715" width="6" customWidth="1"/>
    <col min="9716" max="9716" width="12.453125" customWidth="1"/>
    <col min="9717" max="9727" width="12.54296875" customWidth="1"/>
    <col min="9970" max="9970" width="50.54296875" customWidth="1"/>
    <col min="9971" max="9971" width="6" customWidth="1"/>
    <col min="9972" max="9972" width="12.453125" customWidth="1"/>
    <col min="9973" max="9983" width="12.54296875" customWidth="1"/>
    <col min="10226" max="10226" width="50.54296875" customWidth="1"/>
    <col min="10227" max="10227" width="6" customWidth="1"/>
    <col min="10228" max="10228" width="12.453125" customWidth="1"/>
    <col min="10229" max="10239" width="12.54296875" customWidth="1"/>
    <col min="10482" max="10482" width="50.54296875" customWidth="1"/>
    <col min="10483" max="10483" width="6" customWidth="1"/>
    <col min="10484" max="10484" width="12.453125" customWidth="1"/>
    <col min="10485" max="10495" width="12.54296875" customWidth="1"/>
    <col min="10738" max="10738" width="50.54296875" customWidth="1"/>
    <col min="10739" max="10739" width="6" customWidth="1"/>
    <col min="10740" max="10740" width="12.453125" customWidth="1"/>
    <col min="10741" max="10751" width="12.54296875" customWidth="1"/>
    <col min="10994" max="10994" width="50.54296875" customWidth="1"/>
    <col min="10995" max="10995" width="6" customWidth="1"/>
    <col min="10996" max="10996" width="12.453125" customWidth="1"/>
    <col min="10997" max="11007" width="12.54296875" customWidth="1"/>
    <col min="11250" max="11250" width="50.54296875" customWidth="1"/>
    <col min="11251" max="11251" width="6" customWidth="1"/>
    <col min="11252" max="11252" width="12.453125" customWidth="1"/>
    <col min="11253" max="11263" width="12.54296875" customWidth="1"/>
    <col min="11506" max="11506" width="50.54296875" customWidth="1"/>
    <col min="11507" max="11507" width="6" customWidth="1"/>
    <col min="11508" max="11508" width="12.453125" customWidth="1"/>
    <col min="11509" max="11519" width="12.54296875" customWidth="1"/>
    <col min="11762" max="11762" width="50.54296875" customWidth="1"/>
    <col min="11763" max="11763" width="6" customWidth="1"/>
    <col min="11764" max="11764" width="12.453125" customWidth="1"/>
    <col min="11765" max="11775" width="12.54296875" customWidth="1"/>
    <col min="12018" max="12018" width="50.54296875" customWidth="1"/>
    <col min="12019" max="12019" width="6" customWidth="1"/>
    <col min="12020" max="12020" width="12.453125" customWidth="1"/>
    <col min="12021" max="12031" width="12.54296875" customWidth="1"/>
    <col min="12274" max="12274" width="50.54296875" customWidth="1"/>
    <col min="12275" max="12275" width="6" customWidth="1"/>
    <col min="12276" max="12276" width="12.453125" customWidth="1"/>
    <col min="12277" max="12287" width="12.54296875" customWidth="1"/>
    <col min="12530" max="12530" width="50.54296875" customWidth="1"/>
    <col min="12531" max="12531" width="6" customWidth="1"/>
    <col min="12532" max="12532" width="12.453125" customWidth="1"/>
    <col min="12533" max="12543" width="12.54296875" customWidth="1"/>
    <col min="12786" max="12786" width="50.54296875" customWidth="1"/>
    <col min="12787" max="12787" width="6" customWidth="1"/>
    <col min="12788" max="12788" width="12.453125" customWidth="1"/>
    <col min="12789" max="12799" width="12.54296875" customWidth="1"/>
    <col min="13042" max="13042" width="50.54296875" customWidth="1"/>
    <col min="13043" max="13043" width="6" customWidth="1"/>
    <col min="13044" max="13044" width="12.453125" customWidth="1"/>
    <col min="13045" max="13055" width="12.54296875" customWidth="1"/>
    <col min="13298" max="13298" width="50.54296875" customWidth="1"/>
    <col min="13299" max="13299" width="6" customWidth="1"/>
    <col min="13300" max="13300" width="12.453125" customWidth="1"/>
    <col min="13301" max="13311" width="12.54296875" customWidth="1"/>
    <col min="13554" max="13554" width="50.54296875" customWidth="1"/>
    <col min="13555" max="13555" width="6" customWidth="1"/>
    <col min="13556" max="13556" width="12.453125" customWidth="1"/>
    <col min="13557" max="13567" width="12.54296875" customWidth="1"/>
    <col min="13810" max="13810" width="50.54296875" customWidth="1"/>
    <col min="13811" max="13811" width="6" customWidth="1"/>
    <col min="13812" max="13812" width="12.453125" customWidth="1"/>
    <col min="13813" max="13823" width="12.54296875" customWidth="1"/>
    <col min="14066" max="14066" width="50.54296875" customWidth="1"/>
    <col min="14067" max="14067" width="6" customWidth="1"/>
    <col min="14068" max="14068" width="12.453125" customWidth="1"/>
    <col min="14069" max="14079" width="12.54296875" customWidth="1"/>
    <col min="14322" max="14322" width="50.54296875" customWidth="1"/>
    <col min="14323" max="14323" width="6" customWidth="1"/>
    <col min="14324" max="14324" width="12.453125" customWidth="1"/>
    <col min="14325" max="14335" width="12.54296875" customWidth="1"/>
    <col min="14578" max="14578" width="50.54296875" customWidth="1"/>
    <col min="14579" max="14579" width="6" customWidth="1"/>
    <col min="14580" max="14580" width="12.453125" customWidth="1"/>
    <col min="14581" max="14591" width="12.54296875" customWidth="1"/>
    <col min="14834" max="14834" width="50.54296875" customWidth="1"/>
    <col min="14835" max="14835" width="6" customWidth="1"/>
    <col min="14836" max="14836" width="12.453125" customWidth="1"/>
    <col min="14837" max="14847" width="12.54296875" customWidth="1"/>
    <col min="15090" max="15090" width="50.54296875" customWidth="1"/>
    <col min="15091" max="15091" width="6" customWidth="1"/>
    <col min="15092" max="15092" width="12.453125" customWidth="1"/>
    <col min="15093" max="15103" width="12.54296875" customWidth="1"/>
    <col min="15346" max="15346" width="50.54296875" customWidth="1"/>
    <col min="15347" max="15347" width="6" customWidth="1"/>
    <col min="15348" max="15348" width="12.453125" customWidth="1"/>
    <col min="15349" max="15359" width="12.54296875" customWidth="1"/>
    <col min="15602" max="15602" width="50.54296875" customWidth="1"/>
    <col min="15603" max="15603" width="6" customWidth="1"/>
    <col min="15604" max="15604" width="12.453125" customWidth="1"/>
    <col min="15605" max="15615" width="12.54296875" customWidth="1"/>
    <col min="15858" max="15858" width="50.54296875" customWidth="1"/>
    <col min="15859" max="15859" width="6" customWidth="1"/>
    <col min="15860" max="15860" width="12.453125" customWidth="1"/>
    <col min="15861" max="15871" width="12.54296875" customWidth="1"/>
    <col min="16114" max="16114" width="50.54296875" customWidth="1"/>
    <col min="16115" max="16115" width="6" customWidth="1"/>
    <col min="16116" max="16116" width="12.453125" customWidth="1"/>
    <col min="16117" max="16127" width="12.54296875" customWidth="1"/>
  </cols>
  <sheetData>
    <row r="1" spans="1:289" s="3" customFormat="1" ht="18" customHeight="1" thickBot="1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  <c r="JR1" s="2">
        <v>46023</v>
      </c>
      <c r="JS1" s="2">
        <v>46054</v>
      </c>
      <c r="JT1" s="2">
        <v>46082</v>
      </c>
      <c r="JU1" s="2">
        <v>46113</v>
      </c>
      <c r="JV1" s="2">
        <v>46143</v>
      </c>
      <c r="JW1" s="2">
        <v>46174</v>
      </c>
      <c r="JX1" s="2">
        <v>46204</v>
      </c>
      <c r="JY1" s="2">
        <v>46235</v>
      </c>
      <c r="JZ1" s="2">
        <v>46266</v>
      </c>
      <c r="KA1" s="2">
        <v>46296</v>
      </c>
      <c r="KB1" s="2">
        <v>46327</v>
      </c>
      <c r="KC1" s="2">
        <v>46357</v>
      </c>
    </row>
    <row r="2" spans="1:289" s="6" customFormat="1" ht="14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4653.7604993000004</v>
      </c>
      <c r="JO2" s="159">
        <v>4124.468323352</v>
      </c>
      <c r="JP2" s="159">
        <v>4683.901741052</v>
      </c>
      <c r="JQ2" s="159">
        <v>4021.2598352159994</v>
      </c>
      <c r="JR2" s="159">
        <v>4101.4709384080006</v>
      </c>
      <c r="JS2" s="159">
        <v>3466.8068827940001</v>
      </c>
      <c r="JT2" s="159"/>
      <c r="JU2" s="159"/>
      <c r="JV2" s="159"/>
      <c r="JW2" s="159"/>
      <c r="JX2" s="159"/>
      <c r="JY2" s="159"/>
      <c r="JZ2" s="159"/>
      <c r="KA2" s="159"/>
      <c r="KB2" s="159"/>
      <c r="KC2" s="159"/>
    </row>
    <row r="3" spans="1:289" s="10" customFormat="1" ht="6.75" customHeigh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  <c r="JR3" s="159"/>
      <c r="JS3" s="159"/>
      <c r="JT3" s="159"/>
      <c r="JU3" s="159"/>
      <c r="JV3" s="159"/>
      <c r="JW3" s="159"/>
      <c r="JX3" s="159"/>
      <c r="JY3" s="159"/>
      <c r="JZ3" s="159"/>
      <c r="KA3" s="159"/>
      <c r="KB3" s="159"/>
      <c r="KC3" s="159"/>
    </row>
    <row r="4" spans="1:289" s="10" customFormat="1" ht="13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3766.4111833680004</v>
      </c>
      <c r="JO4" s="160">
        <v>3213.0607694200003</v>
      </c>
      <c r="JP4" s="160">
        <v>3755.4039654860003</v>
      </c>
      <c r="JQ4" s="160">
        <v>2892.1682184659994</v>
      </c>
      <c r="JR4" s="160">
        <v>3178.4616770540006</v>
      </c>
      <c r="JS4" s="160">
        <v>2634.1302261870005</v>
      </c>
      <c r="JT4" s="160"/>
      <c r="JU4" s="160"/>
      <c r="JV4" s="160"/>
      <c r="JW4" s="160"/>
      <c r="JX4" s="160"/>
      <c r="JY4" s="160"/>
      <c r="JZ4" s="160"/>
      <c r="KA4" s="160"/>
      <c r="KB4" s="160"/>
      <c r="KC4" s="160"/>
    </row>
    <row r="5" spans="1:289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1209.3277219510001</v>
      </c>
      <c r="JO5" s="159">
        <v>501.50126576100001</v>
      </c>
      <c r="JP5" s="159">
        <v>1217.719906623</v>
      </c>
      <c r="JQ5" s="159">
        <v>435.61413782600005</v>
      </c>
      <c r="JR5" s="159">
        <v>582.85640309300004</v>
      </c>
      <c r="JS5" s="159">
        <v>28.079835687999999</v>
      </c>
      <c r="JT5" s="159"/>
      <c r="JU5" s="159"/>
      <c r="JV5" s="159"/>
      <c r="JW5" s="159"/>
      <c r="JX5" s="159"/>
      <c r="JY5" s="159"/>
      <c r="JZ5" s="159"/>
      <c r="KA5" s="159"/>
      <c r="KB5" s="159"/>
      <c r="KC5" s="159"/>
    </row>
    <row r="6" spans="1:289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2137.6859633350005</v>
      </c>
      <c r="JO6" s="159">
        <v>2236.8398185430001</v>
      </c>
      <c r="JP6" s="159">
        <v>2110.9660875500003</v>
      </c>
      <c r="JQ6" s="159">
        <v>2034.8444511379998</v>
      </c>
      <c r="JR6" s="159">
        <v>2212.3436422560003</v>
      </c>
      <c r="JS6" s="159">
        <v>387.28339592099996</v>
      </c>
      <c r="JT6" s="159"/>
      <c r="JU6" s="159"/>
      <c r="JV6" s="159"/>
      <c r="JW6" s="159"/>
      <c r="JX6" s="159"/>
      <c r="JY6" s="159"/>
      <c r="JZ6" s="159"/>
      <c r="KA6" s="159"/>
      <c r="KB6" s="159"/>
      <c r="KC6" s="159"/>
    </row>
    <row r="7" spans="1:289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1855.6974623110002</v>
      </c>
      <c r="JO7" s="159">
        <v>1881.830545992</v>
      </c>
      <c r="JP7" s="159">
        <v>1790.929059346</v>
      </c>
      <c r="JQ7" s="159">
        <v>1733.2874532139999</v>
      </c>
      <c r="JR7" s="159">
        <v>1864.5161588640001</v>
      </c>
      <c r="JS7" s="159">
        <v>312.15299786399999</v>
      </c>
      <c r="JT7" s="159"/>
      <c r="JU7" s="159"/>
      <c r="JV7" s="159"/>
      <c r="JW7" s="159"/>
      <c r="JX7" s="159"/>
      <c r="JY7" s="159"/>
      <c r="JZ7" s="159"/>
      <c r="KA7" s="159"/>
      <c r="KB7" s="159"/>
      <c r="KC7" s="159"/>
    </row>
    <row r="8" spans="1:289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281.98850102400002</v>
      </c>
      <c r="JO8" s="159">
        <v>355.00927255099998</v>
      </c>
      <c r="JP8" s="159">
        <v>320.03702820400008</v>
      </c>
      <c r="JQ8" s="159">
        <v>301.55699792399997</v>
      </c>
      <c r="JR8" s="159">
        <v>347.82748339200003</v>
      </c>
      <c r="JS8" s="159">
        <v>75.130398056999994</v>
      </c>
      <c r="JT8" s="159"/>
      <c r="JU8" s="159"/>
      <c r="JV8" s="159"/>
      <c r="JW8" s="159"/>
      <c r="JX8" s="159"/>
      <c r="JY8" s="159"/>
      <c r="JZ8" s="159"/>
      <c r="KA8" s="159"/>
      <c r="KB8" s="159"/>
      <c r="KC8" s="159"/>
    </row>
    <row r="9" spans="1:289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>
        <v>0</v>
      </c>
      <c r="JP9" s="159">
        <v>0</v>
      </c>
      <c r="JQ9" s="159">
        <v>0</v>
      </c>
      <c r="JR9" s="159">
        <v>0</v>
      </c>
      <c r="JS9" s="159">
        <v>0</v>
      </c>
      <c r="JT9" s="159"/>
      <c r="JU9" s="159"/>
      <c r="JV9" s="159"/>
      <c r="JW9" s="159"/>
      <c r="JX9" s="159"/>
      <c r="JY9" s="159"/>
      <c r="JZ9" s="159"/>
      <c r="KA9" s="159"/>
      <c r="KB9" s="159"/>
      <c r="KC9" s="159"/>
    </row>
    <row r="10" spans="1:289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350.15392652099996</v>
      </c>
      <c r="JO10" s="159">
        <v>393.89839284800001</v>
      </c>
      <c r="JP10" s="159">
        <v>357.29280826900003</v>
      </c>
      <c r="JQ10" s="159">
        <v>350.97714147199997</v>
      </c>
      <c r="JR10" s="159">
        <v>318.54286795400003</v>
      </c>
      <c r="JS10" s="159">
        <v>294.023732005</v>
      </c>
      <c r="JT10" s="159"/>
      <c r="JU10" s="159"/>
      <c r="JV10" s="159"/>
      <c r="JW10" s="159"/>
      <c r="JX10" s="159"/>
      <c r="JY10" s="159"/>
      <c r="JZ10" s="159"/>
      <c r="KA10" s="159"/>
      <c r="KB10" s="159"/>
      <c r="KC10" s="159"/>
    </row>
    <row r="11" spans="1:289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69.243571560999982</v>
      </c>
      <c r="JO11" s="159">
        <v>80.821292267999979</v>
      </c>
      <c r="JP11" s="159">
        <v>69.425163044000001</v>
      </c>
      <c r="JQ11" s="159">
        <v>70.732488029999985</v>
      </c>
      <c r="JR11" s="159">
        <v>64.718763750999997</v>
      </c>
      <c r="JS11" s="159">
        <v>1924.7432625730003</v>
      </c>
      <c r="JT11" s="159"/>
      <c r="JU11" s="159"/>
      <c r="JV11" s="159"/>
      <c r="JW11" s="159"/>
      <c r="JX11" s="159"/>
      <c r="JY11" s="159"/>
      <c r="JZ11" s="159"/>
      <c r="KA11" s="159"/>
      <c r="KB11" s="159"/>
      <c r="KC11" s="159"/>
    </row>
    <row r="12" spans="1:289" ht="6" customHeight="1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  <c r="JR12" s="159"/>
      <c r="JS12" s="159"/>
      <c r="JT12" s="159"/>
      <c r="JU12" s="159"/>
      <c r="JV12" s="159"/>
      <c r="JW12" s="159"/>
      <c r="JX12" s="159"/>
      <c r="JY12" s="159"/>
      <c r="JZ12" s="159"/>
      <c r="KA12" s="159"/>
      <c r="KB12" s="159"/>
      <c r="KC12" s="159"/>
    </row>
    <row r="13" spans="1:289" s="16" customFormat="1" ht="14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>
        <v>276.06351512600003</v>
      </c>
      <c r="JP13" s="159">
        <v>283.17408858099998</v>
      </c>
      <c r="JQ13" s="159">
        <v>281.59777971199998</v>
      </c>
      <c r="JR13" s="159">
        <v>300.65501816900002</v>
      </c>
      <c r="JS13" s="159">
        <v>277.72398811900001</v>
      </c>
      <c r="JT13" s="159"/>
      <c r="JU13" s="159"/>
      <c r="JV13" s="159"/>
      <c r="JW13" s="159"/>
      <c r="JX13" s="159"/>
      <c r="JY13" s="159"/>
      <c r="JZ13" s="159"/>
      <c r="KA13" s="159"/>
      <c r="KB13" s="159"/>
      <c r="KC13" s="159"/>
    </row>
    <row r="14" spans="1:289" ht="8.25" customHeight="1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  <c r="JR14" s="159"/>
      <c r="JS14" s="159"/>
      <c r="JT14" s="159"/>
      <c r="JU14" s="159"/>
      <c r="JV14" s="159"/>
      <c r="JW14" s="159"/>
      <c r="JX14" s="159"/>
      <c r="JY14" s="159"/>
      <c r="JZ14" s="159"/>
      <c r="KA14" s="159"/>
      <c r="KB14" s="159"/>
      <c r="KC14" s="159"/>
    </row>
    <row r="15" spans="1:289" s="16" customFormat="1" ht="14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174.76363641399999</v>
      </c>
      <c r="JO15" s="159">
        <v>134.94624963500002</v>
      </c>
      <c r="JP15" s="159">
        <v>158.25599529300001</v>
      </c>
      <c r="JQ15" s="159">
        <v>169.23178386800001</v>
      </c>
      <c r="JR15" s="159">
        <v>169.22834761500002</v>
      </c>
      <c r="JS15" s="159">
        <v>72.962042918999998</v>
      </c>
      <c r="JT15" s="159"/>
      <c r="JU15" s="159"/>
      <c r="JV15" s="159"/>
      <c r="JW15" s="159"/>
      <c r="JX15" s="159"/>
      <c r="JY15" s="159"/>
      <c r="JZ15" s="159"/>
      <c r="KA15" s="159"/>
      <c r="KB15" s="159"/>
      <c r="KC15" s="159"/>
    </row>
    <row r="16" spans="1:289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1.131093382</v>
      </c>
      <c r="JO16" s="159">
        <v>2.2091783999999999</v>
      </c>
      <c r="JP16" s="159">
        <v>35.819976045000004</v>
      </c>
      <c r="JQ16" s="159">
        <v>2.9070538630000002</v>
      </c>
      <c r="JR16" s="159">
        <v>92.3996025</v>
      </c>
      <c r="JS16" s="159">
        <v>0</v>
      </c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</row>
    <row r="17" spans="1:289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>
        <v>0</v>
      </c>
      <c r="JP17" s="159">
        <v>0</v>
      </c>
      <c r="JQ17" s="159">
        <v>0</v>
      </c>
      <c r="JR17" s="159">
        <v>0</v>
      </c>
      <c r="JS17" s="159">
        <v>0</v>
      </c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</row>
    <row r="18" spans="1:289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1.131093382</v>
      </c>
      <c r="JO18" s="159">
        <v>2.2091783999999999</v>
      </c>
      <c r="JP18" s="159">
        <v>35.819976045000004</v>
      </c>
      <c r="JQ18" s="159">
        <v>2.9070538630000002</v>
      </c>
      <c r="JR18" s="159">
        <v>92.3996025</v>
      </c>
      <c r="JS18" s="159">
        <v>0</v>
      </c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</row>
    <row r="19" spans="1:289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>
        <v>0</v>
      </c>
      <c r="JP19" s="159">
        <v>0</v>
      </c>
      <c r="JQ19" s="159">
        <v>0</v>
      </c>
      <c r="JR19" s="159">
        <v>0</v>
      </c>
      <c r="JS19" s="159">
        <v>0</v>
      </c>
      <c r="JT19" s="159"/>
      <c r="JU19" s="159"/>
      <c r="JV19" s="159"/>
      <c r="JW19" s="159"/>
      <c r="JX19" s="159"/>
      <c r="JY19" s="159"/>
      <c r="JZ19" s="159"/>
      <c r="KA19" s="159"/>
      <c r="KB19" s="159"/>
      <c r="KC19" s="159"/>
    </row>
    <row r="20" spans="1:289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>
        <v>0</v>
      </c>
      <c r="JP20" s="159">
        <v>0</v>
      </c>
      <c r="JQ20" s="159">
        <v>0</v>
      </c>
      <c r="JR20" s="159">
        <v>0</v>
      </c>
      <c r="JS20" s="159">
        <v>0</v>
      </c>
      <c r="JT20" s="159"/>
      <c r="JU20" s="159"/>
      <c r="JV20" s="159"/>
      <c r="JW20" s="159"/>
      <c r="JX20" s="159"/>
      <c r="JY20" s="159"/>
      <c r="JZ20" s="159"/>
      <c r="KA20" s="159"/>
      <c r="KB20" s="159"/>
      <c r="KC20" s="159"/>
    </row>
    <row r="21" spans="1:289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>
        <v>0</v>
      </c>
      <c r="JP21" s="159">
        <v>0</v>
      </c>
      <c r="JQ21" s="159">
        <v>0</v>
      </c>
      <c r="JR21" s="159">
        <v>0</v>
      </c>
      <c r="JS21" s="159">
        <v>0</v>
      </c>
      <c r="JT21" s="159"/>
      <c r="JU21" s="159"/>
      <c r="JV21" s="159"/>
      <c r="JW21" s="159"/>
      <c r="JX21" s="159"/>
      <c r="JY21" s="159"/>
      <c r="JZ21" s="159"/>
      <c r="KA21" s="159"/>
      <c r="KB21" s="159"/>
      <c r="KC21" s="159"/>
    </row>
    <row r="22" spans="1:289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165.10562603399998</v>
      </c>
      <c r="JO22" s="159">
        <v>132.737071235</v>
      </c>
      <c r="JP22" s="159">
        <v>122.43601924799999</v>
      </c>
      <c r="JQ22" s="159">
        <v>166.32473000500002</v>
      </c>
      <c r="JR22" s="159">
        <v>76.828745115000004</v>
      </c>
      <c r="JS22" s="159">
        <v>72.962042918999998</v>
      </c>
      <c r="JT22" s="159"/>
      <c r="JU22" s="159"/>
      <c r="JV22" s="159"/>
      <c r="JW22" s="159"/>
      <c r="JX22" s="159"/>
      <c r="JY22" s="159"/>
      <c r="JZ22" s="159"/>
      <c r="KA22" s="159"/>
      <c r="KB22" s="159"/>
      <c r="KC22" s="159"/>
    </row>
    <row r="23" spans="1:289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165.10562603399998</v>
      </c>
      <c r="JO23" s="159">
        <v>132.737071235</v>
      </c>
      <c r="JP23" s="159">
        <v>122.43601924799999</v>
      </c>
      <c r="JQ23" s="159">
        <v>166.32473000500002</v>
      </c>
      <c r="JR23" s="159">
        <v>76.828745115000004</v>
      </c>
      <c r="JS23" s="159">
        <v>72.962042918999998</v>
      </c>
      <c r="JT23" s="159"/>
      <c r="JU23" s="159"/>
      <c r="JV23" s="159"/>
      <c r="JW23" s="159"/>
      <c r="JX23" s="159"/>
      <c r="JY23" s="159"/>
      <c r="JZ23" s="159"/>
      <c r="KA23" s="159"/>
      <c r="KB23" s="159"/>
      <c r="KC23" s="159"/>
    </row>
    <row r="24" spans="1:289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>
        <v>0</v>
      </c>
      <c r="JP24" s="159">
        <v>0</v>
      </c>
      <c r="JQ24" s="159">
        <v>0</v>
      </c>
      <c r="JR24" s="159">
        <v>0</v>
      </c>
      <c r="JS24" s="159">
        <v>0</v>
      </c>
      <c r="JT24" s="159"/>
      <c r="JU24" s="159"/>
      <c r="JV24" s="159"/>
      <c r="JW24" s="159"/>
      <c r="JX24" s="159"/>
      <c r="JY24" s="159"/>
      <c r="JZ24" s="159"/>
      <c r="KA24" s="159"/>
      <c r="KB24" s="159"/>
      <c r="KC24" s="159"/>
    </row>
    <row r="25" spans="1:289" s="16" customFormat="1" ht="14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427.37525323199998</v>
      </c>
      <c r="JO25" s="159">
        <v>500.397789171</v>
      </c>
      <c r="JP25" s="159">
        <v>487.06769169200004</v>
      </c>
      <c r="JQ25" s="159">
        <v>678.26205316999994</v>
      </c>
      <c r="JR25" s="159">
        <v>453.12589557000007</v>
      </c>
      <c r="JS25" s="159">
        <v>481.99062556899997</v>
      </c>
      <c r="JT25" s="159"/>
      <c r="JU25" s="159"/>
      <c r="JV25" s="159"/>
      <c r="JW25" s="159"/>
      <c r="JX25" s="159"/>
      <c r="JY25" s="159"/>
      <c r="JZ25" s="159"/>
      <c r="KA25" s="159"/>
      <c r="KB25" s="159"/>
      <c r="KC25" s="159"/>
    </row>
    <row r="26" spans="1:289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>
        <v>234.550710581</v>
      </c>
      <c r="JP26" s="159">
        <v>229.47793741000001</v>
      </c>
      <c r="JQ26" s="159">
        <v>231.286408139</v>
      </c>
      <c r="JR26" s="159">
        <v>306.15792449600002</v>
      </c>
      <c r="JS26" s="159">
        <v>283.17015759899999</v>
      </c>
      <c r="JT26" s="159"/>
      <c r="JU26" s="159"/>
      <c r="JV26" s="159"/>
      <c r="JW26" s="159"/>
      <c r="JX26" s="159"/>
      <c r="JY26" s="159"/>
      <c r="JZ26" s="159"/>
      <c r="KA26" s="159"/>
      <c r="KB26" s="159"/>
      <c r="KC26" s="159"/>
    </row>
    <row r="27" spans="1:289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>
        <v>209.13949019200001</v>
      </c>
      <c r="JP27" s="161">
        <v>222.74686361299999</v>
      </c>
      <c r="JQ27" s="161">
        <v>146.76263379100001</v>
      </c>
      <c r="JR27" s="161">
        <v>228.11081871700003</v>
      </c>
      <c r="JS27" s="161">
        <v>268.80575380400001</v>
      </c>
      <c r="JT27" s="161"/>
      <c r="JU27" s="161"/>
      <c r="JV27" s="161"/>
      <c r="JW27" s="161"/>
      <c r="JX27" s="161"/>
      <c r="JY27" s="161"/>
      <c r="JZ27" s="161"/>
      <c r="KA27" s="161"/>
      <c r="KB27" s="161"/>
      <c r="KC27" s="161"/>
    </row>
    <row r="28" spans="1:289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>
        <v>25.411220388999993</v>
      </c>
      <c r="JP28" s="159">
        <v>6.7310737970000192</v>
      </c>
      <c r="JQ28" s="159">
        <v>84.523774348000003</v>
      </c>
      <c r="JR28" s="159">
        <v>78.047105778999978</v>
      </c>
      <c r="JS28" s="159">
        <v>14.364403794999991</v>
      </c>
      <c r="JT28" s="159"/>
      <c r="JU28" s="159"/>
      <c r="JV28" s="159"/>
      <c r="JW28" s="159"/>
      <c r="JX28" s="159"/>
      <c r="JY28" s="159"/>
      <c r="JZ28" s="159"/>
      <c r="KA28" s="159"/>
      <c r="KB28" s="159"/>
      <c r="KC28" s="159"/>
    </row>
    <row r="29" spans="1:289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167.11060896999999</v>
      </c>
      <c r="JO29" s="159">
        <v>200.075065494</v>
      </c>
      <c r="JP29" s="159">
        <v>210.33873951599998</v>
      </c>
      <c r="JQ29" s="159">
        <v>321.02215074399999</v>
      </c>
      <c r="JR29" s="159">
        <v>142.95391196500003</v>
      </c>
      <c r="JS29" s="159">
        <v>175.53839799799997</v>
      </c>
      <c r="JT29" s="159"/>
      <c r="JU29" s="159"/>
      <c r="JV29" s="159"/>
      <c r="JW29" s="159"/>
      <c r="JX29" s="159"/>
      <c r="JY29" s="159"/>
      <c r="JZ29" s="159"/>
      <c r="KA29" s="159"/>
      <c r="KB29" s="159"/>
      <c r="KC29" s="159"/>
    </row>
    <row r="30" spans="1:289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>
        <v>0</v>
      </c>
      <c r="JP30" s="159">
        <v>16.117234816</v>
      </c>
      <c r="JQ30" s="159">
        <v>102.954598503</v>
      </c>
      <c r="JR30" s="159">
        <v>0</v>
      </c>
      <c r="JS30" s="159">
        <v>36.243442754</v>
      </c>
      <c r="JT30" s="159"/>
      <c r="JU30" s="159"/>
      <c r="JV30" s="159"/>
      <c r="JW30" s="159"/>
      <c r="JX30" s="159"/>
      <c r="JY30" s="159"/>
      <c r="JZ30" s="159"/>
      <c r="KA30" s="159"/>
      <c r="KB30" s="159"/>
      <c r="KC30" s="159"/>
    </row>
    <row r="31" spans="1:289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167.11060896999999</v>
      </c>
      <c r="JO31" s="159">
        <v>200.07506549399997</v>
      </c>
      <c r="JP31" s="159">
        <v>194.22150469999997</v>
      </c>
      <c r="JQ31" s="159">
        <v>218.06755224099993</v>
      </c>
      <c r="JR31" s="159">
        <v>142.95391196500003</v>
      </c>
      <c r="JS31" s="159">
        <v>139.29495524399999</v>
      </c>
      <c r="JT31" s="159"/>
      <c r="JU31" s="159"/>
      <c r="JV31" s="159"/>
      <c r="JW31" s="159"/>
      <c r="JX31" s="159"/>
      <c r="JY31" s="159"/>
      <c r="JZ31" s="159"/>
      <c r="KA31" s="159"/>
      <c r="KB31" s="159"/>
      <c r="KC31" s="159"/>
    </row>
    <row r="32" spans="1:289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32.282696762</v>
      </c>
      <c r="JO32" s="159">
        <v>65.772013095999995</v>
      </c>
      <c r="JP32" s="159">
        <v>47.251014765999997</v>
      </c>
      <c r="JQ32" s="159">
        <v>125.95349428699998</v>
      </c>
      <c r="JR32" s="159">
        <v>4.0140591089999997</v>
      </c>
      <c r="JS32" s="159">
        <v>23.282069971999999</v>
      </c>
      <c r="JT32" s="159"/>
      <c r="JU32" s="159"/>
      <c r="JV32" s="159"/>
      <c r="JW32" s="159"/>
      <c r="JX32" s="159"/>
      <c r="JY32" s="159"/>
      <c r="JZ32" s="159"/>
      <c r="KA32" s="159"/>
      <c r="KB32" s="159"/>
      <c r="KC32" s="159"/>
    </row>
    <row r="33" spans="1:289" ht="8.2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  <c r="JR33" s="159"/>
      <c r="JS33" s="159"/>
      <c r="JT33" s="159"/>
      <c r="JU33" s="159"/>
      <c r="JV33" s="159"/>
      <c r="JW33" s="159"/>
      <c r="JX33" s="159"/>
      <c r="JY33" s="159"/>
      <c r="JZ33" s="159"/>
      <c r="KA33" s="159"/>
      <c r="KB33" s="159"/>
      <c r="KC33" s="159"/>
    </row>
    <row r="34" spans="1:289" s="6" customFormat="1" ht="14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>
        <v>4311.1393727060004</v>
      </c>
      <c r="JP34" s="159">
        <v>4839.3857586870008</v>
      </c>
      <c r="JQ34" s="159">
        <v>6315.8324327639984</v>
      </c>
      <c r="JR34" s="159">
        <v>4385.8614862040004</v>
      </c>
      <c r="JS34" s="159">
        <v>4569.28245444</v>
      </c>
      <c r="JT34" s="159"/>
      <c r="JU34" s="159"/>
      <c r="JV34" s="159"/>
      <c r="JW34" s="159"/>
      <c r="JX34" s="159"/>
      <c r="JY34" s="159"/>
      <c r="JZ34" s="159"/>
      <c r="KA34" s="159"/>
      <c r="KB34" s="159"/>
      <c r="KC34" s="159"/>
    </row>
    <row r="35" spans="1:289" s="27" customFormat="1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>
        <v>1880.7198028519997</v>
      </c>
      <c r="JP35" s="197">
        <v>1884.7268043060003</v>
      </c>
      <c r="JQ35" s="197">
        <v>3656.682650156999</v>
      </c>
      <c r="JR35" s="197">
        <v>1867.0977532270001</v>
      </c>
      <c r="JS35" s="197">
        <v>1950.015988376</v>
      </c>
      <c r="JT35" s="197"/>
      <c r="JU35" s="197"/>
      <c r="JV35" s="197"/>
      <c r="JW35" s="197"/>
      <c r="JX35" s="197"/>
      <c r="JY35" s="197"/>
      <c r="JZ35" s="197"/>
      <c r="KA35" s="197"/>
      <c r="KB35" s="197"/>
      <c r="KC35" s="197"/>
    </row>
    <row r="36" spans="1:289" s="27" customFormat="1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>
        <v>370.83733393400001</v>
      </c>
      <c r="JP36" s="162">
        <v>485.53758752100009</v>
      </c>
      <c r="JQ36" s="162">
        <v>263.35979146000005</v>
      </c>
      <c r="JR36" s="162">
        <v>424.63473012100008</v>
      </c>
      <c r="JS36" s="162">
        <v>392.22264952900002</v>
      </c>
      <c r="JT36" s="162"/>
      <c r="JU36" s="162"/>
      <c r="JV36" s="162"/>
      <c r="JW36" s="162"/>
      <c r="JX36" s="162"/>
      <c r="JY36" s="162"/>
      <c r="JZ36" s="162"/>
      <c r="KA36" s="162"/>
      <c r="KB36" s="162"/>
      <c r="KC36" s="162"/>
    </row>
    <row r="37" spans="1:289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>
        <v>147.841903892</v>
      </c>
      <c r="JP37" s="159">
        <v>145.62688669899998</v>
      </c>
      <c r="JQ37" s="159">
        <v>85.359783239000009</v>
      </c>
      <c r="JR37" s="159">
        <v>157.198153808</v>
      </c>
      <c r="JS37" s="159">
        <v>92.390545012000004</v>
      </c>
      <c r="JT37" s="159"/>
      <c r="JU37" s="159"/>
      <c r="JV37" s="159"/>
      <c r="JW37" s="159"/>
      <c r="JX37" s="159"/>
      <c r="JY37" s="159"/>
      <c r="JZ37" s="159"/>
      <c r="KA37" s="159"/>
      <c r="KB37" s="159"/>
      <c r="KC37" s="159"/>
    </row>
    <row r="38" spans="1:289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>
        <v>218.862185044</v>
      </c>
      <c r="JP38" s="159">
        <v>326.00030472100002</v>
      </c>
      <c r="JQ38" s="159">
        <v>175.70470749999998</v>
      </c>
      <c r="JR38" s="159">
        <v>267.43634103300002</v>
      </c>
      <c r="JS38" s="159">
        <v>294.83585404900003</v>
      </c>
      <c r="JT38" s="159"/>
      <c r="JU38" s="159"/>
      <c r="JV38" s="159"/>
      <c r="JW38" s="159"/>
      <c r="JX38" s="159"/>
      <c r="JY38" s="159"/>
      <c r="JZ38" s="159"/>
      <c r="KA38" s="159"/>
      <c r="KB38" s="159"/>
      <c r="KC38" s="159"/>
    </row>
    <row r="39" spans="1:289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>
        <v>4.1332449980000003</v>
      </c>
      <c r="JP39" s="159">
        <v>13.910396101</v>
      </c>
      <c r="JQ39" s="159">
        <v>1.6131357210000001</v>
      </c>
      <c r="JR39" s="159">
        <v>2.3527999999999998E-4</v>
      </c>
      <c r="JS39" s="159">
        <v>4.9962504680000004</v>
      </c>
      <c r="JT39" s="159"/>
      <c r="JU39" s="159"/>
      <c r="JV39" s="159"/>
      <c r="JW39" s="159"/>
      <c r="JX39" s="159"/>
      <c r="JY39" s="159"/>
      <c r="JZ39" s="159"/>
      <c r="KA39" s="159"/>
      <c r="KB39" s="159"/>
      <c r="KC39" s="159"/>
    </row>
    <row r="40" spans="1:289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>
        <v>0</v>
      </c>
      <c r="JP40" s="159">
        <v>0</v>
      </c>
      <c r="JQ40" s="159">
        <v>0.68216500000003721</v>
      </c>
      <c r="JR40" s="159">
        <v>0</v>
      </c>
      <c r="JS40" s="159">
        <v>0</v>
      </c>
      <c r="JT40" s="159"/>
      <c r="JU40" s="159"/>
      <c r="JV40" s="159"/>
      <c r="JW40" s="159"/>
      <c r="JX40" s="159"/>
      <c r="JY40" s="159"/>
      <c r="JZ40" s="159"/>
      <c r="KA40" s="159"/>
      <c r="KB40" s="159"/>
      <c r="KC40" s="159"/>
    </row>
    <row r="41" spans="1:289" s="27" customFormat="1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>
        <v>423.31642913899998</v>
      </c>
      <c r="JP41" s="162">
        <v>870.74452648300007</v>
      </c>
      <c r="JQ41" s="162">
        <v>145.660995163</v>
      </c>
      <c r="JR41" s="162">
        <v>545.73954026600006</v>
      </c>
      <c r="JS41" s="162">
        <v>705.92329949099997</v>
      </c>
      <c r="JT41" s="162"/>
      <c r="JU41" s="162"/>
      <c r="JV41" s="162"/>
      <c r="JW41" s="162"/>
      <c r="JX41" s="162"/>
      <c r="JY41" s="162"/>
      <c r="JZ41" s="162"/>
      <c r="KA41" s="162"/>
      <c r="KB41" s="162"/>
      <c r="KC41" s="162"/>
    </row>
    <row r="42" spans="1:289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>
        <v>396.417643639</v>
      </c>
      <c r="JP42" s="159">
        <v>845.33370083400007</v>
      </c>
      <c r="JQ42" s="159">
        <v>111.515735883</v>
      </c>
      <c r="JR42" s="159">
        <v>362.79598996600004</v>
      </c>
      <c r="JS42" s="159">
        <v>648.01772862899998</v>
      </c>
      <c r="JT42" s="159"/>
      <c r="JU42" s="159"/>
      <c r="JV42" s="159"/>
      <c r="JW42" s="159"/>
      <c r="JX42" s="159"/>
      <c r="JY42" s="159"/>
      <c r="JZ42" s="159"/>
      <c r="KA42" s="159"/>
      <c r="KB42" s="159"/>
      <c r="KC42" s="159"/>
    </row>
    <row r="43" spans="1:289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>
        <v>26.898785500000002</v>
      </c>
      <c r="JP43" s="159">
        <v>25.410825649</v>
      </c>
      <c r="JQ43" s="159">
        <v>34.145259279999998</v>
      </c>
      <c r="JR43" s="159">
        <v>182.9435503</v>
      </c>
      <c r="JS43" s="159">
        <v>57.905570861999998</v>
      </c>
      <c r="JT43" s="159"/>
      <c r="JU43" s="159"/>
      <c r="JV43" s="159"/>
      <c r="JW43" s="159"/>
      <c r="JX43" s="159"/>
      <c r="JY43" s="159"/>
      <c r="JZ43" s="159"/>
      <c r="KA43" s="159"/>
      <c r="KB43" s="159"/>
      <c r="KC43" s="159"/>
    </row>
    <row r="44" spans="1:289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>
        <v>0</v>
      </c>
      <c r="JP44" s="159">
        <v>0</v>
      </c>
      <c r="JQ44" s="159">
        <v>0</v>
      </c>
      <c r="JR44" s="159">
        <v>0</v>
      </c>
      <c r="JS44" s="159">
        <v>0</v>
      </c>
      <c r="JT44" s="159"/>
      <c r="JU44" s="159"/>
      <c r="JV44" s="159"/>
      <c r="JW44" s="159"/>
      <c r="JX44" s="159"/>
      <c r="JY44" s="159"/>
      <c r="JZ44" s="159"/>
      <c r="KA44" s="159"/>
      <c r="KB44" s="159"/>
      <c r="KC44" s="159"/>
    </row>
    <row r="45" spans="1:289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>
        <v>594.03439477400002</v>
      </c>
      <c r="JP45" s="159">
        <v>522.36695217399995</v>
      </c>
      <c r="JQ45" s="159">
        <v>636.48139008400005</v>
      </c>
      <c r="JR45" s="159">
        <v>530.35424681400002</v>
      </c>
      <c r="JS45" s="159">
        <v>442.81806623899996</v>
      </c>
      <c r="JT45" s="159"/>
      <c r="JU45" s="159"/>
      <c r="JV45" s="159"/>
      <c r="JW45" s="159"/>
      <c r="JX45" s="159"/>
      <c r="JY45" s="159"/>
      <c r="JZ45" s="159"/>
      <c r="KA45" s="159"/>
      <c r="KB45" s="159"/>
      <c r="KC45" s="159"/>
    </row>
    <row r="46" spans="1:289">
      <c r="A46" s="13" t="s">
        <v>170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>
        <v>0</v>
      </c>
      <c r="JP46" s="159">
        <v>0</v>
      </c>
      <c r="JQ46" s="159">
        <v>0</v>
      </c>
      <c r="JR46" s="159">
        <v>0</v>
      </c>
      <c r="JS46" s="159">
        <v>0</v>
      </c>
      <c r="JT46" s="159"/>
      <c r="JU46" s="159"/>
      <c r="JV46" s="159"/>
      <c r="JW46" s="159"/>
      <c r="JX46" s="159"/>
      <c r="JY46" s="159"/>
      <c r="JZ46" s="159"/>
      <c r="KA46" s="159"/>
      <c r="KB46" s="159"/>
      <c r="KC46" s="159"/>
    </row>
    <row r="47" spans="1:289" s="27" customFormat="1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>
        <v>0</v>
      </c>
      <c r="JP47" s="162">
        <v>0</v>
      </c>
      <c r="JQ47" s="162">
        <v>0</v>
      </c>
      <c r="JR47" s="162">
        <v>0</v>
      </c>
      <c r="JS47" s="162">
        <v>0</v>
      </c>
      <c r="JT47" s="162"/>
      <c r="JU47" s="162"/>
      <c r="JV47" s="162"/>
      <c r="JW47" s="162"/>
      <c r="JX47" s="162"/>
      <c r="JY47" s="162"/>
      <c r="JZ47" s="162"/>
      <c r="KA47" s="162"/>
      <c r="KB47" s="162"/>
      <c r="KC47" s="162"/>
    </row>
    <row r="48" spans="1:289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>
        <v>0</v>
      </c>
      <c r="JP48" s="159">
        <v>0</v>
      </c>
      <c r="JQ48" s="159">
        <v>0</v>
      </c>
      <c r="JR48" s="159">
        <v>0</v>
      </c>
      <c r="JS48" s="159">
        <v>0</v>
      </c>
      <c r="JT48" s="159"/>
      <c r="JU48" s="159"/>
      <c r="JV48" s="159"/>
      <c r="JW48" s="159"/>
      <c r="JX48" s="159"/>
      <c r="JY48" s="159"/>
      <c r="JZ48" s="159"/>
      <c r="KA48" s="159"/>
      <c r="KB48" s="159"/>
      <c r="KC48" s="159"/>
    </row>
    <row r="49" spans="1:289">
      <c r="A49" s="13" t="s">
        <v>153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>
        <v>3.7746988839999998</v>
      </c>
      <c r="JP49" s="159">
        <v>1.4295418830000002</v>
      </c>
      <c r="JQ49" s="159">
        <v>0.78400483300000001</v>
      </c>
      <c r="JR49" s="159">
        <v>0.7083497190000001</v>
      </c>
      <c r="JS49" s="159">
        <v>1.4506104319999999</v>
      </c>
      <c r="JT49" s="159"/>
      <c r="JU49" s="159"/>
      <c r="JV49" s="159"/>
      <c r="JW49" s="159"/>
      <c r="JX49" s="159"/>
      <c r="JY49" s="159"/>
      <c r="JZ49" s="159"/>
      <c r="KA49" s="159"/>
      <c r="KB49" s="159"/>
      <c r="KC49" s="159"/>
    </row>
    <row r="50" spans="1:289" s="27" customFormat="1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>
        <v>3.7746988839999998</v>
      </c>
      <c r="JP50" s="162">
        <v>1.4295418830000002</v>
      </c>
      <c r="JQ50" s="162">
        <v>0.78400483300000001</v>
      </c>
      <c r="JR50" s="162">
        <v>0.7083497190000001</v>
      </c>
      <c r="JS50" s="162">
        <v>1.4506104319999999</v>
      </c>
      <c r="JT50" s="162"/>
      <c r="JU50" s="162"/>
      <c r="JV50" s="162"/>
      <c r="JW50" s="162"/>
      <c r="JX50" s="162"/>
      <c r="JY50" s="162"/>
      <c r="JZ50" s="162"/>
      <c r="KA50" s="162"/>
      <c r="KB50" s="162"/>
      <c r="KC50" s="162"/>
    </row>
    <row r="51" spans="1:289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>
        <v>0</v>
      </c>
      <c r="JP51" s="159">
        <v>0</v>
      </c>
      <c r="JQ51" s="159">
        <v>0</v>
      </c>
      <c r="JR51" s="159">
        <v>0</v>
      </c>
      <c r="JS51" s="159">
        <v>0</v>
      </c>
      <c r="JT51" s="159"/>
      <c r="JU51" s="159"/>
      <c r="JV51" s="159"/>
      <c r="JW51" s="159"/>
      <c r="JX51" s="159"/>
      <c r="JY51" s="159"/>
      <c r="JZ51" s="159"/>
      <c r="KA51" s="159"/>
      <c r="KB51" s="159"/>
      <c r="KC51" s="159"/>
    </row>
    <row r="52" spans="1:289">
      <c r="A52" s="13" t="s">
        <v>154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>
        <v>590.25969588999999</v>
      </c>
      <c r="JP52" s="159">
        <v>520.93741029099999</v>
      </c>
      <c r="JQ52" s="159">
        <v>635.69738525100001</v>
      </c>
      <c r="JR52" s="159">
        <v>529.64589709500001</v>
      </c>
      <c r="JS52" s="159">
        <v>441.36745580699994</v>
      </c>
      <c r="JT52" s="159"/>
      <c r="JU52" s="159"/>
      <c r="JV52" s="159"/>
      <c r="JW52" s="159"/>
      <c r="JX52" s="159"/>
      <c r="JY52" s="159"/>
      <c r="JZ52" s="159"/>
      <c r="KA52" s="159"/>
      <c r="KB52" s="159"/>
      <c r="KC52" s="159"/>
    </row>
    <row r="53" spans="1:289" s="27" customFormat="1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>
        <v>475.38495242699997</v>
      </c>
      <c r="JP53" s="162">
        <v>368.58693572999999</v>
      </c>
      <c r="JQ53" s="162">
        <v>530.64575128399997</v>
      </c>
      <c r="JR53" s="162">
        <v>409.15326358499999</v>
      </c>
      <c r="JS53" s="162">
        <v>362.81949112999996</v>
      </c>
      <c r="JT53" s="162"/>
      <c r="JU53" s="162"/>
      <c r="JV53" s="162"/>
      <c r="JW53" s="162"/>
      <c r="JX53" s="162"/>
      <c r="JY53" s="162"/>
      <c r="JZ53" s="162"/>
      <c r="KA53" s="162"/>
      <c r="KB53" s="162"/>
      <c r="KC53" s="162"/>
    </row>
    <row r="54" spans="1:289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>
        <v>114.874743463</v>
      </c>
      <c r="JP54" s="159">
        <v>152.350474561</v>
      </c>
      <c r="JQ54" s="159">
        <v>105.051633967</v>
      </c>
      <c r="JR54" s="159">
        <v>120.49263351</v>
      </c>
      <c r="JS54" s="159">
        <v>78.54796467700001</v>
      </c>
      <c r="JT54" s="159"/>
      <c r="JU54" s="159"/>
      <c r="JV54" s="159"/>
      <c r="JW54" s="159"/>
      <c r="JX54" s="159"/>
      <c r="JY54" s="159"/>
      <c r="JZ54" s="159"/>
      <c r="KA54" s="159"/>
      <c r="KB54" s="159"/>
      <c r="KC54" s="159"/>
    </row>
    <row r="55" spans="1:289" s="27" customFormat="1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>
        <v>910.75635309900008</v>
      </c>
      <c r="JP55" s="162">
        <v>932.16964102100007</v>
      </c>
      <c r="JQ55" s="162">
        <v>1423.783847531</v>
      </c>
      <c r="JR55" s="162">
        <v>930.92449418600006</v>
      </c>
      <c r="JS55" s="162">
        <v>984.76654522299998</v>
      </c>
      <c r="JT55" s="162"/>
      <c r="JU55" s="162"/>
      <c r="JV55" s="162"/>
      <c r="JW55" s="162"/>
      <c r="JX55" s="162"/>
      <c r="JY55" s="162"/>
      <c r="JZ55" s="162"/>
      <c r="KA55" s="162"/>
      <c r="KB55" s="162"/>
      <c r="KC55" s="162"/>
    </row>
    <row r="56" spans="1:289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>
        <v>502.58546734200002</v>
      </c>
      <c r="JP56" s="159">
        <v>504.69597241899999</v>
      </c>
      <c r="JQ56" s="159">
        <v>509.26935149599996</v>
      </c>
      <c r="JR56" s="159">
        <v>500.20912359900007</v>
      </c>
      <c r="JS56" s="159">
        <v>533.73976499699995</v>
      </c>
      <c r="JT56" s="159"/>
      <c r="JU56" s="159"/>
      <c r="JV56" s="159"/>
      <c r="JW56" s="159"/>
      <c r="JX56" s="159"/>
      <c r="JY56" s="159"/>
      <c r="JZ56" s="159"/>
      <c r="KA56" s="159"/>
      <c r="KB56" s="159"/>
      <c r="KC56" s="159"/>
    </row>
    <row r="57" spans="1:289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>
        <v>381.876303135</v>
      </c>
      <c r="JP57" s="159">
        <v>400.765398737</v>
      </c>
      <c r="JQ57" s="159">
        <v>857.41325386599999</v>
      </c>
      <c r="JR57" s="159">
        <v>407.13821239999999</v>
      </c>
      <c r="JS57" s="159">
        <v>414.27148778399999</v>
      </c>
      <c r="JT57" s="159"/>
      <c r="JU57" s="159"/>
      <c r="JV57" s="159"/>
      <c r="JW57" s="159"/>
      <c r="JX57" s="159"/>
      <c r="JY57" s="159"/>
      <c r="JZ57" s="159"/>
      <c r="KA57" s="159"/>
      <c r="KB57" s="159"/>
      <c r="KC57" s="159"/>
    </row>
    <row r="58" spans="1:289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>
        <v>26.294582621999997</v>
      </c>
      <c r="JP58" s="159">
        <v>26.708269864999995</v>
      </c>
      <c r="JQ58" s="159">
        <v>57.101242169000002</v>
      </c>
      <c r="JR58" s="159">
        <v>23.577158187000002</v>
      </c>
      <c r="JS58" s="159">
        <v>36.755292441999998</v>
      </c>
      <c r="JT58" s="159"/>
      <c r="JU58" s="159"/>
      <c r="JV58" s="159"/>
      <c r="JW58" s="159"/>
      <c r="JX58" s="159"/>
      <c r="JY58" s="159"/>
      <c r="JZ58" s="159"/>
      <c r="KA58" s="159"/>
      <c r="KB58" s="159"/>
      <c r="KC58" s="159"/>
    </row>
    <row r="59" spans="1:289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>
        <v>131.47505890799999</v>
      </c>
      <c r="JP59" s="159">
        <v>143.84024718199998</v>
      </c>
      <c r="JQ59" s="159">
        <v>189.86375836900001</v>
      </c>
      <c r="JR59" s="159">
        <v>87.110721589999997</v>
      </c>
      <c r="JS59" s="159">
        <v>93.535905581999984</v>
      </c>
      <c r="JT59" s="159"/>
      <c r="JU59" s="159"/>
      <c r="JV59" s="159"/>
      <c r="JW59" s="159"/>
      <c r="JX59" s="159"/>
      <c r="JY59" s="159"/>
      <c r="JZ59" s="159"/>
      <c r="KA59" s="159"/>
      <c r="KB59" s="159"/>
      <c r="KC59" s="159"/>
    </row>
    <row r="60" spans="1:289" s="27" customFormat="1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>
        <v>35.714635251000004</v>
      </c>
      <c r="JP60" s="162">
        <v>48.559964238000006</v>
      </c>
      <c r="JQ60" s="162">
        <v>27.661370541000004</v>
      </c>
      <c r="JR60" s="162">
        <v>13.094935425999999</v>
      </c>
      <c r="JS60" s="162">
        <v>13.826270913999997</v>
      </c>
      <c r="JT60" s="162"/>
      <c r="JU60" s="162"/>
      <c r="JV60" s="162"/>
      <c r="JW60" s="162"/>
      <c r="JX60" s="162"/>
      <c r="JY60" s="162"/>
      <c r="JZ60" s="162"/>
      <c r="KA60" s="162"/>
      <c r="KB60" s="162"/>
      <c r="KC60" s="162"/>
    </row>
    <row r="61" spans="1:289" ht="26.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>
        <v>3.9681812500000002</v>
      </c>
      <c r="JP61" s="159">
        <v>0.35340995600000003</v>
      </c>
      <c r="JQ61" s="159">
        <v>2.6143368860000002</v>
      </c>
      <c r="JR61" s="159">
        <v>3.693461992</v>
      </c>
      <c r="JS61" s="159">
        <v>1.3</v>
      </c>
      <c r="JT61" s="159"/>
      <c r="JU61" s="159"/>
      <c r="JV61" s="159"/>
      <c r="JW61" s="159"/>
      <c r="JX61" s="159"/>
      <c r="JY61" s="159"/>
      <c r="JZ61" s="159"/>
      <c r="KA61" s="159"/>
      <c r="KB61" s="159"/>
      <c r="KC61" s="159"/>
    </row>
    <row r="62" spans="1:289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>
        <v>21.630848866000004</v>
      </c>
      <c r="JP62" s="159">
        <v>19.399022303999999</v>
      </c>
      <c r="JQ62" s="159">
        <v>20.967656888</v>
      </c>
      <c r="JR62" s="159">
        <v>1.5340776789999999</v>
      </c>
      <c r="JS62" s="159">
        <v>3.1404271099999983</v>
      </c>
      <c r="JT62" s="159"/>
      <c r="JU62" s="159"/>
      <c r="JV62" s="159"/>
      <c r="JW62" s="159"/>
      <c r="JX62" s="159"/>
      <c r="JY62" s="159"/>
      <c r="JZ62" s="159"/>
      <c r="KA62" s="159"/>
      <c r="KB62" s="159"/>
      <c r="KC62" s="159"/>
    </row>
    <row r="63" spans="1:289" ht="26.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>
        <v>0</v>
      </c>
      <c r="JP63" s="159">
        <v>0.57900740000000039</v>
      </c>
      <c r="JQ63" s="159">
        <v>0.27215920800000004</v>
      </c>
      <c r="JR63" s="159">
        <v>1.35E-2</v>
      </c>
      <c r="JS63" s="159">
        <v>4.0849999999999991</v>
      </c>
      <c r="JT63" s="159"/>
      <c r="JU63" s="159"/>
      <c r="JV63" s="159"/>
      <c r="JW63" s="159"/>
      <c r="JX63" s="159"/>
      <c r="JY63" s="159"/>
      <c r="JZ63" s="159"/>
      <c r="KA63" s="159"/>
      <c r="KB63" s="159"/>
      <c r="KC63" s="159"/>
    </row>
    <row r="64" spans="1:289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>
        <v>7.9263051349999998</v>
      </c>
      <c r="JP64" s="159">
        <v>25.359224578000003</v>
      </c>
      <c r="JQ64" s="159">
        <v>2.766148276</v>
      </c>
      <c r="JR64" s="159">
        <v>3.786395755</v>
      </c>
      <c r="JS64" s="159">
        <v>2.3803648039999996</v>
      </c>
      <c r="JT64" s="159"/>
      <c r="JU64" s="159"/>
      <c r="JV64" s="159"/>
      <c r="JW64" s="159"/>
      <c r="JX64" s="159"/>
      <c r="JY64" s="159"/>
      <c r="JZ64" s="159"/>
      <c r="KA64" s="159"/>
      <c r="KB64" s="159"/>
      <c r="KC64" s="159"/>
    </row>
    <row r="65" spans="1:289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>
        <v>2.1893000000000002</v>
      </c>
      <c r="JP65" s="159">
        <v>2.8693</v>
      </c>
      <c r="JQ65" s="159">
        <v>1.0410692830000001</v>
      </c>
      <c r="JR65" s="159">
        <v>4.0674999999999999</v>
      </c>
      <c r="JS65" s="159">
        <v>2.9204789999999998</v>
      </c>
      <c r="JT65" s="159"/>
      <c r="JU65" s="159"/>
      <c r="JV65" s="159"/>
      <c r="JW65" s="159"/>
      <c r="JX65" s="159"/>
      <c r="JY65" s="159"/>
      <c r="JZ65" s="159"/>
      <c r="KA65" s="159"/>
      <c r="KB65" s="159"/>
      <c r="KC65" s="159"/>
    </row>
    <row r="66" spans="1:289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>
        <v>95.760423657000004</v>
      </c>
      <c r="JP66" s="159">
        <v>95.280282943999993</v>
      </c>
      <c r="JQ66" s="159">
        <v>162.20238782800001</v>
      </c>
      <c r="JR66" s="159">
        <v>74.015786164000005</v>
      </c>
      <c r="JS66" s="159">
        <v>79.709634667999993</v>
      </c>
      <c r="JT66" s="159"/>
      <c r="JU66" s="159"/>
      <c r="JV66" s="159"/>
      <c r="JW66" s="159"/>
      <c r="JX66" s="159"/>
      <c r="JY66" s="159"/>
      <c r="JZ66" s="159"/>
      <c r="KA66" s="159"/>
      <c r="KB66" s="159"/>
      <c r="KC66" s="159"/>
    </row>
    <row r="67" spans="1:289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>
        <v>65.760423697000007</v>
      </c>
      <c r="JP67" s="159">
        <v>64.280282972999998</v>
      </c>
      <c r="JQ67" s="159">
        <v>51.702387829000003</v>
      </c>
      <c r="JR67" s="159">
        <v>74.015786164000005</v>
      </c>
      <c r="JS67" s="159">
        <v>51.627481136</v>
      </c>
      <c r="JT67" s="159"/>
      <c r="JU67" s="159"/>
      <c r="JV67" s="159"/>
      <c r="JW67" s="159"/>
      <c r="JX67" s="159"/>
      <c r="JY67" s="159"/>
      <c r="JZ67" s="159"/>
      <c r="KA67" s="159"/>
      <c r="KB67" s="159"/>
      <c r="KC67" s="159"/>
    </row>
    <row r="68" spans="1:289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>
        <v>0</v>
      </c>
      <c r="JP68" s="159">
        <v>0</v>
      </c>
      <c r="JQ68" s="159">
        <v>0</v>
      </c>
      <c r="JR68" s="159">
        <v>0</v>
      </c>
      <c r="JS68" s="159">
        <v>0</v>
      </c>
      <c r="JT68" s="159"/>
      <c r="JU68" s="159"/>
      <c r="JV68" s="159"/>
      <c r="JW68" s="159"/>
      <c r="JX68" s="159"/>
      <c r="JY68" s="159"/>
      <c r="JZ68" s="159"/>
      <c r="KA68" s="159"/>
      <c r="KB68" s="159"/>
      <c r="KC68" s="159"/>
    </row>
    <row r="69" spans="1:289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>
        <v>29.99999996</v>
      </c>
      <c r="JP69" s="159">
        <v>30.999999971000001</v>
      </c>
      <c r="JQ69" s="159">
        <v>110.49999999900001</v>
      </c>
      <c r="JR69" s="159">
        <v>0</v>
      </c>
      <c r="JS69" s="159">
        <v>28.082153532</v>
      </c>
      <c r="JT69" s="159"/>
      <c r="JU69" s="159"/>
      <c r="JV69" s="159"/>
      <c r="JW69" s="159"/>
      <c r="JX69" s="159"/>
      <c r="JY69" s="159"/>
      <c r="JZ69" s="159"/>
      <c r="KA69" s="159"/>
      <c r="KB69" s="159"/>
      <c r="KC69" s="159"/>
    </row>
    <row r="70" spans="1:289" ht="7.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  <c r="JR70" s="159"/>
      <c r="JS70" s="159"/>
      <c r="JT70" s="159"/>
      <c r="JU70" s="159"/>
      <c r="JV70" s="159"/>
      <c r="JW70" s="159"/>
      <c r="JX70" s="159"/>
      <c r="JY70" s="159"/>
      <c r="JZ70" s="159"/>
      <c r="KA70" s="159"/>
      <c r="KB70" s="159"/>
      <c r="KC70" s="159"/>
    </row>
    <row r="71" spans="1:289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171.47688038800061</v>
      </c>
      <c r="JO71" s="159">
        <v>-186.67104935400039</v>
      </c>
      <c r="JP71" s="159">
        <v>-155.48401763500078</v>
      </c>
      <c r="JQ71" s="159">
        <v>-2294.5725975479991</v>
      </c>
      <c r="JR71" s="159">
        <v>-284.39054779599974</v>
      </c>
      <c r="JS71" s="159">
        <v>-1102.4755716459999</v>
      </c>
      <c r="JT71" s="159"/>
      <c r="JU71" s="159"/>
      <c r="JV71" s="159"/>
      <c r="JW71" s="159"/>
      <c r="JX71" s="159"/>
      <c r="JY71" s="159"/>
      <c r="JZ71" s="159"/>
      <c r="KA71" s="159"/>
      <c r="KB71" s="159"/>
      <c r="KC71" s="159"/>
    </row>
    <row r="72" spans="1:289" ht="7.5" customHeight="1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9"/>
      <c r="KC72" s="159"/>
    </row>
    <row r="73" spans="1:289" s="10" customFormat="1" ht="6.75" customHeight="1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  <c r="JR73" s="159"/>
      <c r="JS73" s="159"/>
      <c r="JT73" s="159"/>
      <c r="JU73" s="159"/>
      <c r="JV73" s="159"/>
      <c r="JW73" s="159"/>
      <c r="JX73" s="159"/>
      <c r="JY73" s="159"/>
      <c r="JZ73" s="159"/>
      <c r="KA73" s="159"/>
      <c r="KB73" s="159"/>
      <c r="KC73" s="159"/>
    </row>
    <row r="74" spans="1:289" s="16" customFormat="1" ht="14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>
        <v>470.56536564200007</v>
      </c>
      <c r="JP74" s="159">
        <v>589.86032436000005</v>
      </c>
      <c r="JQ74" s="159">
        <v>433.36291846900002</v>
      </c>
      <c r="JR74" s="159">
        <v>347.71265574099999</v>
      </c>
      <c r="JS74" s="159">
        <v>346.01908041499996</v>
      </c>
      <c r="JT74" s="159"/>
      <c r="JU74" s="159"/>
      <c r="JV74" s="159"/>
      <c r="JW74" s="159"/>
      <c r="JX74" s="159"/>
      <c r="JY74" s="159"/>
      <c r="JZ74" s="159"/>
      <c r="KA74" s="159"/>
      <c r="KB74" s="159"/>
      <c r="KC74" s="159"/>
    </row>
    <row r="75" spans="1:289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>
        <v>468.56536569600007</v>
      </c>
      <c r="JP75" s="159">
        <v>589.86032436000005</v>
      </c>
      <c r="JQ75" s="159">
        <v>433.018342469</v>
      </c>
      <c r="JR75" s="159">
        <v>337.17888390899998</v>
      </c>
      <c r="JS75" s="159">
        <v>344.49828841499999</v>
      </c>
      <c r="JT75" s="159"/>
      <c r="JU75" s="159"/>
      <c r="JV75" s="159"/>
      <c r="JW75" s="159"/>
      <c r="JX75" s="159"/>
      <c r="JY75" s="159"/>
      <c r="JZ75" s="159"/>
      <c r="KA75" s="159"/>
      <c r="KB75" s="159"/>
      <c r="KC75" s="159"/>
    </row>
    <row r="76" spans="1:289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>
        <v>1.999999946</v>
      </c>
      <c r="JP76" s="159">
        <v>0</v>
      </c>
      <c r="JQ76" s="159">
        <v>0.34457600000000005</v>
      </c>
      <c r="JR76" s="159">
        <v>10.533771831999999</v>
      </c>
      <c r="JS76" s="159">
        <v>1.5207919999999999</v>
      </c>
      <c r="JT76" s="159"/>
      <c r="JU76" s="159"/>
      <c r="JV76" s="159"/>
      <c r="JW76" s="159"/>
      <c r="JX76" s="159"/>
      <c r="JY76" s="159"/>
      <c r="JZ76" s="159"/>
      <c r="KA76" s="159"/>
      <c r="KB76" s="159"/>
      <c r="KC76" s="159"/>
    </row>
    <row r="77" spans="1:289" ht="13.9" customHeight="1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>
        <v>0</v>
      </c>
      <c r="JP77" s="159">
        <v>0</v>
      </c>
      <c r="JQ77" s="159">
        <v>0</v>
      </c>
      <c r="JR77" s="159">
        <v>0</v>
      </c>
      <c r="JS77" s="159">
        <v>0</v>
      </c>
      <c r="JT77" s="159"/>
      <c r="JU77" s="159"/>
      <c r="JV77" s="159"/>
      <c r="JW77" s="159"/>
      <c r="JX77" s="159"/>
      <c r="JY77" s="159"/>
      <c r="JZ77" s="159"/>
      <c r="KA77" s="159"/>
      <c r="KB77" s="159"/>
      <c r="KC77" s="159"/>
    </row>
    <row r="78" spans="1:289" s="45" customFormat="1" ht="15.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-342.38252741399936</v>
      </c>
      <c r="JO78" s="163">
        <v>-657.23641499600046</v>
      </c>
      <c r="JP78" s="163">
        <v>-745.34434199500083</v>
      </c>
      <c r="JQ78" s="163">
        <v>-2727.9355160169989</v>
      </c>
      <c r="JR78" s="163">
        <v>-632.10320353699967</v>
      </c>
      <c r="JS78" s="163">
        <v>-1448.4946520609999</v>
      </c>
      <c r="JT78" s="163"/>
      <c r="JU78" s="163"/>
      <c r="JV78" s="163"/>
      <c r="JW78" s="163"/>
      <c r="JX78" s="163"/>
      <c r="JY78" s="163"/>
      <c r="JZ78" s="163"/>
      <c r="KA78" s="163"/>
      <c r="KB78" s="163"/>
      <c r="KC78" s="163"/>
    </row>
    <row r="79" spans="1:289" ht="5.2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  <c r="JR79" s="159"/>
      <c r="JS79" s="159"/>
      <c r="JT79" s="159"/>
      <c r="JU79" s="159"/>
      <c r="JV79" s="159"/>
      <c r="JW79" s="159"/>
      <c r="JX79" s="159"/>
      <c r="JY79" s="159"/>
      <c r="JZ79" s="159"/>
      <c r="KA79" s="159"/>
      <c r="KB79" s="159"/>
      <c r="KC79" s="159"/>
    </row>
    <row r="80" spans="1:289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  <c r="JR80" s="159"/>
      <c r="JS80" s="159"/>
      <c r="JT80" s="159"/>
      <c r="JU80" s="159"/>
      <c r="JV80" s="159"/>
      <c r="JW80" s="159"/>
      <c r="JX80" s="159"/>
      <c r="JY80" s="159"/>
      <c r="JZ80" s="159"/>
      <c r="KA80" s="159"/>
      <c r="KB80" s="159"/>
      <c r="KC80" s="159"/>
    </row>
    <row r="81" spans="1:289" ht="10.5" customHeight="1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  <c r="JR81" s="159"/>
      <c r="JS81" s="159"/>
      <c r="JT81" s="159"/>
      <c r="JU81" s="159"/>
      <c r="JV81" s="159"/>
      <c r="JW81" s="159"/>
      <c r="JX81" s="159"/>
      <c r="JY81" s="159"/>
      <c r="JZ81" s="159"/>
      <c r="KA81" s="159"/>
      <c r="KB81" s="159"/>
      <c r="KC81" s="159"/>
    </row>
    <row r="82" spans="1:289" s="16" customFormat="1" ht="14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-737.41467203982825</v>
      </c>
      <c r="JN82" s="159">
        <v>-1067.4239503453118</v>
      </c>
      <c r="JO82" s="159">
        <v>-638.6208822904689</v>
      </c>
      <c r="JP82" s="159">
        <v>-610.38876501781635</v>
      </c>
      <c r="JQ82" s="159">
        <v>-3137.3034634679561</v>
      </c>
      <c r="JR82" s="159">
        <v>3620.2416423312484</v>
      </c>
      <c r="JS82" s="159">
        <v>345.25612369600003</v>
      </c>
      <c r="JT82" s="159"/>
      <c r="JU82" s="159"/>
      <c r="JV82" s="159"/>
      <c r="JW82" s="159"/>
      <c r="JX82" s="159"/>
      <c r="JY82" s="159"/>
      <c r="JZ82" s="159"/>
      <c r="KA82" s="159"/>
      <c r="KB82" s="159"/>
      <c r="KC82" s="159"/>
    </row>
    <row r="83" spans="1:289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-737.41467203982825</v>
      </c>
      <c r="JN83" s="159">
        <v>-1067.4239503453118</v>
      </c>
      <c r="JO83" s="159">
        <v>-638.6208822904689</v>
      </c>
      <c r="JP83" s="159">
        <v>-610.38876501781635</v>
      </c>
      <c r="JQ83" s="159">
        <v>-3137.3034634679561</v>
      </c>
      <c r="JR83" s="159">
        <v>3620.2416423312484</v>
      </c>
      <c r="JS83" s="159">
        <v>345.25612369600003</v>
      </c>
      <c r="JT83" s="159"/>
      <c r="JU83" s="159"/>
      <c r="JV83" s="159"/>
      <c r="JW83" s="159"/>
      <c r="JX83" s="159"/>
      <c r="JY83" s="159"/>
      <c r="JZ83" s="159"/>
      <c r="KA83" s="159"/>
      <c r="KB83" s="159"/>
      <c r="KC83" s="159"/>
    </row>
    <row r="84" spans="1:289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>
        <v>0</v>
      </c>
      <c r="JP84" s="159">
        <v>0</v>
      </c>
      <c r="JQ84" s="159">
        <v>0</v>
      </c>
      <c r="JR84" s="159">
        <v>0</v>
      </c>
      <c r="JS84" s="159">
        <v>0</v>
      </c>
      <c r="JT84" s="159"/>
      <c r="JU84" s="159"/>
      <c r="JV84" s="159"/>
      <c r="JW84" s="159"/>
      <c r="JX84" s="159"/>
      <c r="JY84" s="159"/>
      <c r="JZ84" s="159"/>
      <c r="KA84" s="159"/>
      <c r="KB84" s="159"/>
      <c r="KC84" s="159"/>
    </row>
    <row r="85" spans="1:289" s="16" customFormat="1" ht="14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1708.0984117909998</v>
      </c>
      <c r="JM85" s="159">
        <v>712.65214578999996</v>
      </c>
      <c r="JN85" s="159">
        <v>64.15163384600001</v>
      </c>
      <c r="JO85" s="159">
        <v>-38.654895615000015</v>
      </c>
      <c r="JP85" s="159">
        <v>137.25998008599998</v>
      </c>
      <c r="JQ85" s="159">
        <v>242.44328772999998</v>
      </c>
      <c r="JR85" s="159">
        <v>871.32885106700019</v>
      </c>
      <c r="JS85" s="159">
        <v>157.55610864400001</v>
      </c>
      <c r="JT85" s="159"/>
      <c r="JU85" s="159"/>
      <c r="JV85" s="159"/>
      <c r="JW85" s="159"/>
      <c r="JX85" s="159"/>
      <c r="JY85" s="159"/>
      <c r="JZ85" s="159"/>
      <c r="KA85" s="159"/>
      <c r="KB85" s="159"/>
      <c r="KC85" s="159"/>
    </row>
    <row r="86" spans="1:289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137.67525922600001</v>
      </c>
      <c r="JM86" s="159">
        <v>477.20195628499999</v>
      </c>
      <c r="JN86" s="159">
        <v>-36.128103224000029</v>
      </c>
      <c r="JO86" s="159">
        <v>-161.70711596699999</v>
      </c>
      <c r="JP86" s="159">
        <v>512.24843071099997</v>
      </c>
      <c r="JQ86" s="159">
        <v>-237.82850202400002</v>
      </c>
      <c r="JR86" s="159">
        <v>91.060292405000183</v>
      </c>
      <c r="JS86" s="159">
        <v>-89.751364764999991</v>
      </c>
      <c r="JT86" s="159"/>
      <c r="JU86" s="159"/>
      <c r="JV86" s="159"/>
      <c r="JW86" s="159"/>
      <c r="JX86" s="159"/>
      <c r="JY86" s="159"/>
      <c r="JZ86" s="159"/>
      <c r="KA86" s="159"/>
      <c r="KB86" s="159"/>
      <c r="KC86" s="159"/>
    </row>
    <row r="87" spans="1:289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>
        <v>123.05222035199998</v>
      </c>
      <c r="JP87" s="159">
        <v>-374.98845062499998</v>
      </c>
      <c r="JQ87" s="159">
        <v>480.271789754</v>
      </c>
      <c r="JR87" s="159">
        <v>780.26855866200003</v>
      </c>
      <c r="JS87" s="159">
        <v>247.30747340900001</v>
      </c>
      <c r="JT87" s="159"/>
      <c r="JU87" s="159"/>
      <c r="JV87" s="159"/>
      <c r="JW87" s="159"/>
      <c r="JX87" s="159"/>
      <c r="JY87" s="159"/>
      <c r="JZ87" s="159"/>
      <c r="KA87" s="159"/>
      <c r="KB87" s="159"/>
      <c r="KC87" s="159"/>
    </row>
    <row r="88" spans="1:289" ht="6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  <c r="JR88" s="159"/>
      <c r="JS88" s="159"/>
      <c r="JT88" s="159"/>
      <c r="JU88" s="159"/>
      <c r="JV88" s="159"/>
      <c r="JW88" s="159"/>
      <c r="JX88" s="159"/>
      <c r="JY88" s="159"/>
      <c r="JZ88" s="159"/>
      <c r="KA88" s="159"/>
      <c r="KB88" s="159"/>
      <c r="KC88" s="159"/>
    </row>
    <row r="89" spans="1:289" s="10" customFormat="1" ht="14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137.67525922600001</v>
      </c>
      <c r="JM89" s="159">
        <v>493.75960717499999</v>
      </c>
      <c r="JN89" s="159">
        <v>-486.12810322400003</v>
      </c>
      <c r="JO89" s="159">
        <v>-161.62000996699999</v>
      </c>
      <c r="JP89" s="159">
        <v>300.73137102499999</v>
      </c>
      <c r="JQ89" s="159">
        <v>-237.852982083</v>
      </c>
      <c r="JR89" s="159">
        <v>91.060292405000155</v>
      </c>
      <c r="JS89" s="159">
        <v>-74.680570051999993</v>
      </c>
      <c r="JT89" s="159"/>
      <c r="JU89" s="159"/>
      <c r="JV89" s="159"/>
      <c r="JW89" s="159"/>
      <c r="JX89" s="159"/>
      <c r="JY89" s="159"/>
      <c r="JZ89" s="159"/>
      <c r="KA89" s="159"/>
      <c r="KB89" s="159"/>
      <c r="KC89" s="159"/>
    </row>
    <row r="90" spans="1:289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137.67525922600001</v>
      </c>
      <c r="JM90" s="159">
        <v>493.75960717499999</v>
      </c>
      <c r="JN90" s="159">
        <v>-486.12810322400003</v>
      </c>
      <c r="JO90" s="159">
        <v>-161.62000996699999</v>
      </c>
      <c r="JP90" s="159">
        <v>300.73137102499999</v>
      </c>
      <c r="JQ90" s="159">
        <v>-237.852982083</v>
      </c>
      <c r="JR90" s="159">
        <v>1598.1570913160001</v>
      </c>
      <c r="JS90" s="159">
        <v>0</v>
      </c>
      <c r="JT90" s="159"/>
      <c r="JU90" s="159"/>
      <c r="JV90" s="159"/>
      <c r="JW90" s="159"/>
      <c r="JX90" s="159"/>
      <c r="JY90" s="159"/>
      <c r="JZ90" s="159"/>
      <c r="KA90" s="159"/>
      <c r="KB90" s="159"/>
      <c r="KC90" s="159"/>
    </row>
    <row r="91" spans="1:289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>
        <v>0</v>
      </c>
      <c r="JP91" s="159">
        <v>0</v>
      </c>
      <c r="JQ91" s="159">
        <v>0</v>
      </c>
      <c r="JR91" s="159">
        <v>1507.096798911</v>
      </c>
      <c r="JS91" s="159">
        <v>74.680570051999993</v>
      </c>
      <c r="JT91" s="159"/>
      <c r="JU91" s="159"/>
      <c r="JV91" s="159"/>
      <c r="JW91" s="159"/>
      <c r="JX91" s="159"/>
      <c r="JY91" s="159"/>
      <c r="JZ91" s="159"/>
      <c r="KA91" s="159"/>
      <c r="KB91" s="159"/>
      <c r="KC91" s="159"/>
    </row>
    <row r="92" spans="1:289" ht="6.75" customHeight="1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  <c r="JR92" s="159"/>
      <c r="JS92" s="159"/>
      <c r="JT92" s="159"/>
      <c r="JU92" s="159"/>
      <c r="JV92" s="159"/>
      <c r="JW92" s="159"/>
      <c r="JX92" s="159"/>
      <c r="JY92" s="159"/>
      <c r="JZ92" s="159"/>
      <c r="KA92" s="159"/>
      <c r="KB92" s="159"/>
      <c r="KC92" s="159"/>
    </row>
    <row r="93" spans="1:289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-966.67605985182831</v>
      </c>
      <c r="JN93" s="159">
        <v>-1350.7761541533118</v>
      </c>
      <c r="JO93" s="159">
        <v>-634.8036061944689</v>
      </c>
      <c r="JP93" s="159">
        <v>-734.14892897981633</v>
      </c>
      <c r="JQ93" s="159">
        <v>-3102.1011908539563</v>
      </c>
      <c r="JR93" s="159">
        <v>3620.9547608062485</v>
      </c>
      <c r="JS93" s="159">
        <v>0</v>
      </c>
      <c r="JT93" s="159"/>
      <c r="JU93" s="159"/>
      <c r="JV93" s="159"/>
      <c r="JW93" s="159"/>
      <c r="JX93" s="159"/>
      <c r="JY93" s="159"/>
      <c r="JZ93" s="159"/>
      <c r="KA93" s="159"/>
      <c r="KB93" s="159"/>
      <c r="KC93" s="159"/>
    </row>
    <row r="94" spans="1:289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-966.67605985182831</v>
      </c>
      <c r="JN94" s="159">
        <v>-1350.7761541533118</v>
      </c>
      <c r="JO94" s="159">
        <v>-634.8036061944689</v>
      </c>
      <c r="JP94" s="159">
        <v>-734.14892897981633</v>
      </c>
      <c r="JQ94" s="159">
        <v>-3102.1011908539563</v>
      </c>
      <c r="JR94" s="159">
        <v>3620.9547608062485</v>
      </c>
      <c r="JS94" s="159">
        <v>0</v>
      </c>
      <c r="JT94" s="159"/>
      <c r="JU94" s="159"/>
      <c r="JV94" s="159"/>
      <c r="JW94" s="159"/>
      <c r="JX94" s="159"/>
      <c r="JY94" s="159"/>
      <c r="JZ94" s="159"/>
      <c r="KA94" s="159"/>
      <c r="KB94" s="159"/>
      <c r="KC94" s="159"/>
    </row>
    <row r="95" spans="1:289" ht="7.5" customHeight="1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  <c r="JR95" s="159"/>
      <c r="JS95" s="159"/>
      <c r="JT95" s="159"/>
      <c r="JU95" s="159"/>
      <c r="JV95" s="159"/>
      <c r="JW95" s="159"/>
      <c r="JX95" s="159"/>
      <c r="JY95" s="159"/>
      <c r="JZ95" s="159"/>
      <c r="KA95" s="159"/>
      <c r="KB95" s="159"/>
      <c r="KC95" s="159"/>
    </row>
    <row r="96" spans="1:289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-2.6242128451922326</v>
      </c>
      <c r="JM96" s="159">
        <v>228.81786146382808</v>
      </c>
      <c r="JN96" s="159">
        <v>789.19305677731245</v>
      </c>
      <c r="JO96" s="159">
        <v>-57.270428320531579</v>
      </c>
      <c r="JP96" s="159">
        <v>2.3044031088155066</v>
      </c>
      <c r="JQ96" s="159">
        <v>651.81123518095717</v>
      </c>
      <c r="JR96" s="159">
        <v>-3381.0159948012479</v>
      </c>
      <c r="JS96" s="159">
        <v>-1636.1946671129999</v>
      </c>
      <c r="JT96" s="159"/>
      <c r="JU96" s="159"/>
      <c r="JV96" s="159"/>
      <c r="JW96" s="159"/>
      <c r="JX96" s="159"/>
      <c r="JY96" s="159"/>
      <c r="JZ96" s="159"/>
      <c r="KA96" s="159"/>
      <c r="KB96" s="159"/>
      <c r="KC96" s="159"/>
    </row>
    <row r="97" spans="2:253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90"/>
  <sheetViews>
    <sheetView showGridLines="0" topLeftCell="H1" workbookViewId="0">
      <selection activeCell="C59" sqref="C59"/>
    </sheetView>
  </sheetViews>
  <sheetFormatPr baseColWidth="10" defaultColWidth="11.54296875" defaultRowHeight="14.5"/>
  <cols>
    <col min="3" max="3" width="4.26953125" customWidth="1"/>
    <col min="5" max="5" width="12.26953125" bestFit="1" customWidth="1"/>
    <col min="6" max="6" width="4" customWidth="1"/>
    <col min="9" max="9" width="15.1796875" customWidth="1"/>
    <col min="10" max="10" width="4.7265625" customWidth="1"/>
    <col min="11" max="11" width="10.26953125" bestFit="1" customWidth="1"/>
    <col min="12" max="12" width="12.7265625" bestFit="1" customWidth="1"/>
    <col min="13" max="13" width="8" bestFit="1" customWidth="1"/>
    <col min="14" max="14" width="21.7265625" hidden="1" customWidth="1"/>
    <col min="15" max="15" width="4.54296875" customWidth="1"/>
    <col min="23" max="23" width="15.54296875" bestFit="1" customWidth="1"/>
  </cols>
  <sheetData>
    <row r="2" spans="1:24" ht="45.75" customHeight="1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173</v>
      </c>
    </row>
    <row r="3" spans="1:24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199</v>
      </c>
      <c r="M3" t="s">
        <v>72</v>
      </c>
      <c r="N3" s="65">
        <v>6723.152</v>
      </c>
      <c r="T3" s="65"/>
      <c r="V3" s="65"/>
    </row>
    <row r="4" spans="1:24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2021</v>
      </c>
      <c r="L4" s="156" t="s">
        <v>198</v>
      </c>
      <c r="M4" t="s">
        <v>71</v>
      </c>
      <c r="N4" s="65">
        <v>6902.8254999999999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204</v>
      </c>
    </row>
    <row r="5" spans="1:24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2022</v>
      </c>
      <c r="L5" s="156" t="s">
        <v>199</v>
      </c>
      <c r="M5" t="s">
        <v>72</v>
      </c>
      <c r="N5" s="65">
        <v>6966.1513157894742</v>
      </c>
      <c r="P5" s="158" t="str">
        <f>VLOOKUP(MAX(K3:K100),$K$3:$N$100,2,0)</f>
        <v>feb</v>
      </c>
      <c r="Q5" s="158">
        <f>MAX(K3:K100)</f>
        <v>2026</v>
      </c>
      <c r="R5" s="158" t="str">
        <f>P5&amp;"-"&amp;Q5</f>
        <v>feb-2026</v>
      </c>
      <c r="S5" t="s">
        <v>198</v>
      </c>
      <c r="T5" s="65" t="str">
        <f>VLOOKUP(MAX(K3:K100),$K$3:$N$100,3,0)</f>
        <v>Febrero</v>
      </c>
      <c r="U5">
        <f>MAX(K3:K100)</f>
        <v>2026</v>
      </c>
      <c r="V5" s="195" t="str">
        <f>T5&amp;" "&amp;U5</f>
        <v>Febrero 2026</v>
      </c>
      <c r="W5" s="158" t="str">
        <f>S5&amp;"-"&amp;P5&amp;" "&amp;Q5</f>
        <v>ene-feb 2026</v>
      </c>
      <c r="X5" t="str">
        <f>R5</f>
        <v>feb-2026</v>
      </c>
    </row>
    <row r="6" spans="1:24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2022</v>
      </c>
      <c r="L6" s="156" t="s">
        <v>198</v>
      </c>
      <c r="M6" t="s">
        <v>71</v>
      </c>
      <c r="N6" s="65">
        <v>6986.9590476190479</v>
      </c>
      <c r="P6" s="158" t="str">
        <f>VLOOKUP(MAX(K3:K100)-1,$K$3:$N$100,2,0)</f>
        <v>feb</v>
      </c>
      <c r="Q6" s="158">
        <f>MAX(K3:K100)-1</f>
        <v>2025</v>
      </c>
      <c r="R6" s="158" t="str">
        <f>P6&amp;"-"&amp;Q6</f>
        <v>feb-2025</v>
      </c>
      <c r="S6" t="s">
        <v>198</v>
      </c>
      <c r="T6" s="65"/>
      <c r="V6" s="65"/>
      <c r="W6" s="158" t="str">
        <f>S6&amp;"-"&amp;P6&amp;" "&amp;Q6</f>
        <v>ene-feb 2025</v>
      </c>
      <c r="X6" t="str">
        <f>R6</f>
        <v>feb-2025</v>
      </c>
    </row>
    <row r="7" spans="1:24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2023</v>
      </c>
      <c r="L7" s="156" t="s">
        <v>199</v>
      </c>
      <c r="M7" t="s">
        <v>72</v>
      </c>
      <c r="N7" s="65">
        <v>7292.0576315789476</v>
      </c>
      <c r="T7" s="65"/>
      <c r="V7" s="65"/>
    </row>
    <row r="8" spans="1:24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2023</v>
      </c>
      <c r="L8" s="156" t="s">
        <v>198</v>
      </c>
      <c r="M8" t="s">
        <v>71</v>
      </c>
      <c r="N8" s="65">
        <v>7373.170681818181</v>
      </c>
      <c r="T8" s="65"/>
      <c r="V8" s="65"/>
    </row>
    <row r="9" spans="1:24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K9">
        <v>2024</v>
      </c>
      <c r="L9" s="156" t="s">
        <v>199</v>
      </c>
      <c r="M9" t="s">
        <v>72</v>
      </c>
      <c r="N9" s="65">
        <v>7285.0480952380958</v>
      </c>
      <c r="T9" s="65"/>
      <c r="V9" s="65"/>
    </row>
    <row r="10" spans="1:24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K10">
        <v>2024</v>
      </c>
      <c r="L10" s="156" t="s">
        <v>198</v>
      </c>
      <c r="M10" t="s">
        <v>71</v>
      </c>
      <c r="N10" s="65">
        <v>7282.9988636363632</v>
      </c>
      <c r="T10" s="65"/>
      <c r="V10" s="65"/>
    </row>
    <row r="11" spans="1:24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K11">
        <v>2025</v>
      </c>
      <c r="L11" s="156" t="s">
        <v>199</v>
      </c>
      <c r="M11" t="s">
        <v>72</v>
      </c>
      <c r="N11" s="65">
        <v>7897.4904999999999</v>
      </c>
      <c r="T11" s="65"/>
      <c r="V11" s="65"/>
    </row>
    <row r="12" spans="1:24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K12">
        <v>2025</v>
      </c>
      <c r="L12" s="156" t="s">
        <v>198</v>
      </c>
      <c r="M12" t="s">
        <v>71</v>
      </c>
      <c r="N12" s="65">
        <v>7892.6847727272743</v>
      </c>
      <c r="T12" s="65"/>
      <c r="V12" s="65"/>
    </row>
    <row r="13" spans="1:24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K13">
        <v>2026</v>
      </c>
      <c r="L13" s="156" t="s">
        <v>199</v>
      </c>
      <c r="M13" t="s">
        <v>72</v>
      </c>
      <c r="N13" s="65">
        <v>6525.67</v>
      </c>
      <c r="T13" s="65"/>
      <c r="V13" s="65"/>
    </row>
    <row r="14" spans="1:24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K14">
        <v>2026</v>
      </c>
      <c r="L14" s="156" t="s">
        <v>198</v>
      </c>
      <c r="M14" t="s">
        <v>71</v>
      </c>
      <c r="N14" s="65">
        <v>6687.2633333333324</v>
      </c>
      <c r="T14" s="65"/>
      <c r="V14" s="65"/>
    </row>
    <row r="15" spans="1:24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T15" s="65"/>
      <c r="V15" s="65"/>
    </row>
    <row r="16" spans="1:24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T16" s="65"/>
      <c r="V16" s="65"/>
    </row>
    <row r="17" spans="4:22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T17" s="65"/>
      <c r="V17" s="65"/>
    </row>
    <row r="18" spans="4:22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T18" s="65"/>
      <c r="V18" s="65"/>
    </row>
    <row r="19" spans="4:22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T19" s="65"/>
      <c r="V19" s="65"/>
    </row>
    <row r="20" spans="4:22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S20" s="65"/>
      <c r="T20" s="65"/>
      <c r="V20" s="65"/>
    </row>
    <row r="21" spans="4:22">
      <c r="D21" s="60">
        <v>2021</v>
      </c>
      <c r="E21" s="194">
        <v>270542.15585930774</v>
      </c>
      <c r="G21" s="60">
        <f t="shared" si="0"/>
        <v>2004</v>
      </c>
      <c r="H21" s="222">
        <v>38169</v>
      </c>
      <c r="I21" s="61">
        <v>5903.409090909091</v>
      </c>
      <c r="S21" s="65"/>
      <c r="T21" s="65"/>
      <c r="V21" s="65"/>
    </row>
    <row r="22" spans="4:22">
      <c r="D22" s="60">
        <v>2022</v>
      </c>
      <c r="E22" s="194">
        <v>292166.75107789051</v>
      </c>
      <c r="G22" s="60">
        <f t="shared" si="0"/>
        <v>2004</v>
      </c>
      <c r="H22" s="222">
        <v>38200</v>
      </c>
      <c r="I22" s="61">
        <v>5908.818181818182</v>
      </c>
      <c r="S22" s="65"/>
      <c r="V22" s="65"/>
    </row>
    <row r="23" spans="4:22">
      <c r="D23" s="60">
        <v>2023</v>
      </c>
      <c r="E23" s="194">
        <v>314445.33407677943</v>
      </c>
      <c r="F23" s="65"/>
      <c r="G23" s="60">
        <f t="shared" si="0"/>
        <v>2004</v>
      </c>
      <c r="H23" s="222">
        <v>38231</v>
      </c>
      <c r="I23" s="61">
        <v>5919.333333333333</v>
      </c>
    </row>
    <row r="24" spans="4:22">
      <c r="D24" s="60">
        <v>2024</v>
      </c>
      <c r="E24" s="194">
        <v>338236.55117402837</v>
      </c>
      <c r="G24" s="60">
        <f t="shared" si="0"/>
        <v>2004</v>
      </c>
      <c r="H24" s="222">
        <v>38261</v>
      </c>
      <c r="I24" s="61">
        <v>5995</v>
      </c>
    </row>
    <row r="25" spans="4:22">
      <c r="D25" s="60">
        <v>2025</v>
      </c>
      <c r="E25" s="194">
        <v>371032.85222057428</v>
      </c>
      <c r="G25" s="60">
        <f t="shared" si="0"/>
        <v>2004</v>
      </c>
      <c r="H25" s="222">
        <v>38292</v>
      </c>
      <c r="I25" s="61">
        <v>6100</v>
      </c>
    </row>
    <row r="26" spans="4:22">
      <c r="D26" s="60">
        <v>2026</v>
      </c>
      <c r="E26" s="231">
        <v>400397.35011067067</v>
      </c>
      <c r="F26" s="64"/>
      <c r="G26" s="60">
        <f t="shared" si="0"/>
        <v>2004</v>
      </c>
      <c r="H26" s="222">
        <v>38322</v>
      </c>
      <c r="I26" s="61">
        <v>6185.227272727273</v>
      </c>
      <c r="J26" s="64"/>
    </row>
    <row r="27" spans="4:22">
      <c r="G27" s="60">
        <f t="shared" si="0"/>
        <v>2005</v>
      </c>
      <c r="H27" s="222">
        <v>38353</v>
      </c>
      <c r="I27" s="61">
        <v>6276.666666666667</v>
      </c>
    </row>
    <row r="28" spans="4:22">
      <c r="G28" s="60">
        <f t="shared" si="0"/>
        <v>2005</v>
      </c>
      <c r="H28" s="222">
        <v>38384</v>
      </c>
      <c r="I28" s="61">
        <v>6311</v>
      </c>
    </row>
    <row r="29" spans="4:22">
      <c r="G29" s="60">
        <f t="shared" si="0"/>
        <v>2005</v>
      </c>
      <c r="H29" s="222">
        <v>38412</v>
      </c>
      <c r="I29" s="61">
        <v>6262.25</v>
      </c>
    </row>
    <row r="30" spans="4:22">
      <c r="G30" s="60">
        <f t="shared" si="0"/>
        <v>2005</v>
      </c>
      <c r="H30" s="222">
        <v>38443</v>
      </c>
      <c r="I30" s="61">
        <v>6267.75</v>
      </c>
    </row>
    <row r="31" spans="4:22">
      <c r="G31" s="60">
        <f t="shared" si="0"/>
        <v>2005</v>
      </c>
      <c r="H31" s="222">
        <v>38473</v>
      </c>
      <c r="I31" s="61">
        <v>6242.727272727273</v>
      </c>
    </row>
    <row r="32" spans="4:22">
      <c r="G32" s="60">
        <f t="shared" si="0"/>
        <v>2005</v>
      </c>
      <c r="H32" s="222">
        <v>38504</v>
      </c>
      <c r="I32" s="61">
        <v>6129.318181818182</v>
      </c>
    </row>
    <row r="33" spans="7:9">
      <c r="G33" s="60">
        <f t="shared" si="0"/>
        <v>2005</v>
      </c>
      <c r="H33" s="222">
        <v>38534</v>
      </c>
      <c r="I33" s="61">
        <v>6020.4761904761908</v>
      </c>
    </row>
    <row r="34" spans="7:9">
      <c r="G34" s="60">
        <f t="shared" si="0"/>
        <v>2005</v>
      </c>
      <c r="H34" s="222">
        <v>38565</v>
      </c>
      <c r="I34" s="61">
        <v>5996.818181818182</v>
      </c>
    </row>
    <row r="35" spans="7:9">
      <c r="G35" s="60">
        <f t="shared" si="0"/>
        <v>2005</v>
      </c>
      <c r="H35" s="222">
        <v>38596</v>
      </c>
      <c r="I35" s="61">
        <v>6110.2380952380954</v>
      </c>
    </row>
    <row r="36" spans="7:9">
      <c r="G36" s="60">
        <f t="shared" si="0"/>
        <v>2005</v>
      </c>
      <c r="H36" s="222">
        <v>38626</v>
      </c>
      <c r="I36" s="61">
        <v>6118.8095238095239</v>
      </c>
    </row>
    <row r="37" spans="7:9">
      <c r="G37" s="60">
        <f t="shared" si="0"/>
        <v>2005</v>
      </c>
      <c r="H37" s="222">
        <v>38657</v>
      </c>
      <c r="I37" s="61">
        <v>6127.5</v>
      </c>
    </row>
    <row r="38" spans="7:9">
      <c r="G38" s="60">
        <f t="shared" si="0"/>
        <v>2005</v>
      </c>
      <c r="H38" s="222">
        <v>38687</v>
      </c>
      <c r="I38" s="61">
        <v>6109.5238095238092</v>
      </c>
    </row>
    <row r="39" spans="7:9">
      <c r="G39" s="60">
        <f t="shared" si="0"/>
        <v>2006</v>
      </c>
      <c r="H39" s="222">
        <v>38718</v>
      </c>
      <c r="I39" s="61">
        <v>6125.909090909091</v>
      </c>
    </row>
    <row r="40" spans="7:9">
      <c r="G40" s="60">
        <f t="shared" si="0"/>
        <v>2006</v>
      </c>
      <c r="H40" s="222">
        <v>38749</v>
      </c>
      <c r="I40" s="61">
        <v>6059</v>
      </c>
    </row>
    <row r="41" spans="7:9">
      <c r="G41" s="60">
        <f t="shared" si="0"/>
        <v>2006</v>
      </c>
      <c r="H41" s="222">
        <v>38777</v>
      </c>
      <c r="I41" s="61">
        <v>5884.090909090909</v>
      </c>
    </row>
    <row r="42" spans="7:9">
      <c r="G42" s="60">
        <f t="shared" si="0"/>
        <v>2006</v>
      </c>
      <c r="H42" s="222">
        <v>38808</v>
      </c>
      <c r="I42" s="61">
        <v>5796.666666666667</v>
      </c>
    </row>
    <row r="43" spans="7:9">
      <c r="G43" s="60">
        <f t="shared" si="0"/>
        <v>2006</v>
      </c>
      <c r="H43" s="222">
        <v>38838</v>
      </c>
      <c r="I43" s="61">
        <v>5595.7142857142853</v>
      </c>
    </row>
    <row r="44" spans="7:9">
      <c r="G44" s="60">
        <f t="shared" si="0"/>
        <v>2006</v>
      </c>
      <c r="H44" s="222">
        <v>38869</v>
      </c>
      <c r="I44" s="61">
        <v>5615.2380952380954</v>
      </c>
    </row>
    <row r="45" spans="7:9">
      <c r="G45" s="60">
        <f t="shared" si="0"/>
        <v>2006</v>
      </c>
      <c r="H45" s="222">
        <v>38899</v>
      </c>
      <c r="I45" s="61">
        <v>5491.9047619047615</v>
      </c>
    </row>
    <row r="46" spans="7:9">
      <c r="G46" s="60">
        <f t="shared" si="0"/>
        <v>2006</v>
      </c>
      <c r="H46" s="222">
        <v>38930</v>
      </c>
      <c r="I46" s="61">
        <v>5423.181818181818</v>
      </c>
    </row>
    <row r="47" spans="7:9">
      <c r="G47" s="60">
        <f t="shared" si="0"/>
        <v>2006</v>
      </c>
      <c r="H47" s="222">
        <v>38961</v>
      </c>
      <c r="I47" s="61">
        <v>5398.25</v>
      </c>
    </row>
    <row r="48" spans="7:9">
      <c r="G48" s="60">
        <f t="shared" si="0"/>
        <v>2006</v>
      </c>
      <c r="H48" s="222">
        <v>38991</v>
      </c>
      <c r="I48" s="61">
        <v>5344.772727272727</v>
      </c>
    </row>
    <row r="49" spans="7:9">
      <c r="G49" s="60">
        <f t="shared" si="0"/>
        <v>2006</v>
      </c>
      <c r="H49" s="222">
        <v>39022</v>
      </c>
      <c r="I49" s="61">
        <v>5396.363636363636</v>
      </c>
    </row>
    <row r="50" spans="7:9">
      <c r="G50" s="60">
        <f t="shared" si="0"/>
        <v>2006</v>
      </c>
      <c r="H50" s="222">
        <v>39052</v>
      </c>
      <c r="I50" s="61">
        <v>5313.1578947368425</v>
      </c>
    </row>
    <row r="51" spans="7:9">
      <c r="G51" s="60">
        <f t="shared" si="0"/>
        <v>2007</v>
      </c>
      <c r="H51" s="222">
        <v>39083</v>
      </c>
      <c r="I51" s="61">
        <v>5200.681818181818</v>
      </c>
    </row>
    <row r="52" spans="7:9">
      <c r="G52" s="60">
        <f t="shared" si="0"/>
        <v>2007</v>
      </c>
      <c r="H52" s="222">
        <v>39114</v>
      </c>
      <c r="I52" s="61">
        <v>5204</v>
      </c>
    </row>
    <row r="53" spans="7:9">
      <c r="G53" s="60">
        <f t="shared" si="0"/>
        <v>2007</v>
      </c>
      <c r="H53" s="222">
        <v>39142</v>
      </c>
      <c r="I53" s="61">
        <v>5090.9523809523807</v>
      </c>
    </row>
    <row r="54" spans="7:9">
      <c r="G54" s="60">
        <f t="shared" si="0"/>
        <v>2007</v>
      </c>
      <c r="H54" s="222">
        <v>39173</v>
      </c>
      <c r="I54" s="61">
        <v>5023.1578947368425</v>
      </c>
    </row>
    <row r="55" spans="7:9">
      <c r="G55" s="60">
        <f t="shared" si="0"/>
        <v>2007</v>
      </c>
      <c r="H55" s="222">
        <v>39203</v>
      </c>
      <c r="I55" s="61">
        <v>5045.7142857142853</v>
      </c>
    </row>
    <row r="56" spans="7:9">
      <c r="G56" s="60">
        <f t="shared" si="0"/>
        <v>2007</v>
      </c>
      <c r="H56" s="222">
        <v>39234</v>
      </c>
      <c r="I56" s="61">
        <v>5069.5</v>
      </c>
    </row>
    <row r="57" spans="7:9">
      <c r="G57" s="60">
        <f t="shared" si="0"/>
        <v>2007</v>
      </c>
      <c r="H57" s="222">
        <v>39264</v>
      </c>
      <c r="I57" s="61">
        <v>5110.681818181818</v>
      </c>
    </row>
    <row r="58" spans="7:9">
      <c r="G58" s="60">
        <f t="shared" si="0"/>
        <v>2007</v>
      </c>
      <c r="H58" s="222">
        <v>39295</v>
      </c>
      <c r="I58" s="61">
        <v>5096.136363636364</v>
      </c>
    </row>
    <row r="59" spans="7:9">
      <c r="G59" s="60">
        <f t="shared" si="0"/>
        <v>2007</v>
      </c>
      <c r="H59" s="222">
        <v>39326</v>
      </c>
      <c r="I59" s="61">
        <v>5012.5</v>
      </c>
    </row>
    <row r="60" spans="7:9">
      <c r="G60" s="60">
        <f t="shared" si="0"/>
        <v>2007</v>
      </c>
      <c r="H60" s="222">
        <v>39356</v>
      </c>
      <c r="I60" s="61">
        <v>4952.826086956522</v>
      </c>
    </row>
    <row r="61" spans="7:9">
      <c r="G61" s="60">
        <f t="shared" si="0"/>
        <v>2007</v>
      </c>
      <c r="H61" s="222">
        <v>39387</v>
      </c>
      <c r="I61" s="61">
        <v>4714.318181818182</v>
      </c>
    </row>
    <row r="62" spans="7:9">
      <c r="G62" s="60">
        <f t="shared" si="0"/>
        <v>2007</v>
      </c>
      <c r="H62" s="222">
        <v>39417</v>
      </c>
      <c r="I62" s="61">
        <v>4716.5</v>
      </c>
    </row>
    <row r="63" spans="7:9">
      <c r="G63" s="60">
        <f t="shared" si="0"/>
        <v>2008</v>
      </c>
      <c r="H63" s="222">
        <v>39448</v>
      </c>
      <c r="I63" s="61">
        <v>4704.090909090909</v>
      </c>
    </row>
    <row r="64" spans="7:9">
      <c r="G64" s="60">
        <f t="shared" si="0"/>
        <v>2008</v>
      </c>
      <c r="H64" s="222">
        <v>39479</v>
      </c>
      <c r="I64" s="61">
        <v>4672.8571428571431</v>
      </c>
    </row>
    <row r="65" spans="7:9">
      <c r="G65" s="60">
        <f t="shared" si="0"/>
        <v>2008</v>
      </c>
      <c r="H65" s="222">
        <v>39508</v>
      </c>
      <c r="I65" s="61">
        <v>4524.7368421052633</v>
      </c>
    </row>
    <row r="66" spans="7:9">
      <c r="G66" s="60">
        <f t="shared" si="0"/>
        <v>2008</v>
      </c>
      <c r="H66" s="222">
        <v>39539</v>
      </c>
      <c r="I66" s="61">
        <v>4274.090909090909</v>
      </c>
    </row>
    <row r="67" spans="7:9">
      <c r="G67" s="60">
        <f t="shared" si="0"/>
        <v>2008</v>
      </c>
      <c r="H67" s="222">
        <v>39569</v>
      </c>
      <c r="I67" s="61">
        <v>4072.5</v>
      </c>
    </row>
    <row r="68" spans="7:9">
      <c r="G68" s="60">
        <f t="shared" ref="G68:G131" si="1">YEAR(H68)</f>
        <v>2008</v>
      </c>
      <c r="H68" s="222">
        <v>39600</v>
      </c>
      <c r="I68" s="61">
        <v>3969</v>
      </c>
    </row>
    <row r="69" spans="7:9">
      <c r="G69" s="60">
        <f t="shared" si="1"/>
        <v>2008</v>
      </c>
      <c r="H69" s="222">
        <v>39630</v>
      </c>
      <c r="I69" s="61">
        <v>3962.8260869565215</v>
      </c>
    </row>
    <row r="70" spans="7:9">
      <c r="G70" s="60">
        <f t="shared" si="1"/>
        <v>2008</v>
      </c>
      <c r="H70" s="222">
        <v>39661</v>
      </c>
      <c r="I70" s="61">
        <v>3974.5</v>
      </c>
    </row>
    <row r="71" spans="7:9">
      <c r="G71" s="60">
        <f t="shared" si="1"/>
        <v>2008</v>
      </c>
      <c r="H71" s="222">
        <v>39692</v>
      </c>
      <c r="I71" s="61">
        <v>3986.6666666666665</v>
      </c>
    </row>
    <row r="72" spans="7:9">
      <c r="G72" s="60">
        <f t="shared" si="1"/>
        <v>2008</v>
      </c>
      <c r="H72" s="222">
        <v>39722</v>
      </c>
      <c r="I72" s="61">
        <v>4351.95652173913</v>
      </c>
    </row>
    <row r="73" spans="7:9">
      <c r="G73" s="60">
        <f t="shared" si="1"/>
        <v>2008</v>
      </c>
      <c r="H73" s="222">
        <v>39753</v>
      </c>
      <c r="I73" s="61">
        <v>4799</v>
      </c>
    </row>
    <row r="74" spans="7:9">
      <c r="G74" s="60">
        <f t="shared" si="1"/>
        <v>2008</v>
      </c>
      <c r="H74" s="222">
        <v>39783</v>
      </c>
      <c r="I74" s="61">
        <v>4874.2857142857147</v>
      </c>
    </row>
    <row r="75" spans="7:9">
      <c r="G75" s="60">
        <f t="shared" si="1"/>
        <v>2009</v>
      </c>
      <c r="H75" s="222">
        <v>39814</v>
      </c>
      <c r="I75" s="61">
        <v>4978.5714285714284</v>
      </c>
    </row>
    <row r="76" spans="7:9">
      <c r="G76" s="60">
        <f t="shared" si="1"/>
        <v>2009</v>
      </c>
      <c r="H76" s="222">
        <v>39845</v>
      </c>
      <c r="I76" s="61">
        <v>5085.75</v>
      </c>
    </row>
    <row r="77" spans="7:9">
      <c r="G77" s="60">
        <f t="shared" si="1"/>
        <v>2009</v>
      </c>
      <c r="H77" s="222">
        <v>39873</v>
      </c>
      <c r="I77" s="61">
        <v>5124.545454545455</v>
      </c>
    </row>
    <row r="78" spans="7:9">
      <c r="G78" s="60">
        <f t="shared" si="1"/>
        <v>2009</v>
      </c>
      <c r="H78" s="222">
        <v>39904</v>
      </c>
      <c r="I78" s="61">
        <v>5034.5</v>
      </c>
    </row>
    <row r="79" spans="7:9">
      <c r="G79" s="60">
        <f t="shared" si="1"/>
        <v>2009</v>
      </c>
      <c r="H79" s="222">
        <v>39934</v>
      </c>
      <c r="I79" s="61">
        <v>5026.8421052631575</v>
      </c>
    </row>
    <row r="80" spans="7:9">
      <c r="G80" s="60">
        <f t="shared" si="1"/>
        <v>2009</v>
      </c>
      <c r="H80" s="222">
        <v>39965</v>
      </c>
      <c r="I80" s="61">
        <v>5016.1904761904761</v>
      </c>
    </row>
    <row r="81" spans="7:9">
      <c r="G81" s="60">
        <f t="shared" si="1"/>
        <v>2009</v>
      </c>
      <c r="H81" s="222">
        <v>39995</v>
      </c>
      <c r="I81" s="61">
        <v>4998.695652173913</v>
      </c>
    </row>
    <row r="82" spans="7:9">
      <c r="G82" s="60">
        <f t="shared" si="1"/>
        <v>2009</v>
      </c>
      <c r="H82" s="222">
        <v>40026</v>
      </c>
      <c r="I82" s="61">
        <v>4944.7619047619046</v>
      </c>
    </row>
    <row r="83" spans="7:9">
      <c r="G83" s="60">
        <f t="shared" si="1"/>
        <v>2009</v>
      </c>
      <c r="H83" s="222">
        <v>40057</v>
      </c>
      <c r="I83" s="61">
        <v>4923.8095238095239</v>
      </c>
    </row>
    <row r="84" spans="7:9">
      <c r="G84" s="60">
        <f t="shared" si="1"/>
        <v>2009</v>
      </c>
      <c r="H84" s="222">
        <v>40087</v>
      </c>
      <c r="I84" s="61">
        <v>4870</v>
      </c>
    </row>
    <row r="85" spans="7:9">
      <c r="G85" s="60">
        <f t="shared" si="1"/>
        <v>2009</v>
      </c>
      <c r="H85" s="222">
        <v>40118</v>
      </c>
      <c r="I85" s="61">
        <v>4828.5714285714284</v>
      </c>
    </row>
    <row r="86" spans="7:9">
      <c r="G86" s="60">
        <f t="shared" si="1"/>
        <v>2009</v>
      </c>
      <c r="H86" s="222">
        <v>40148</v>
      </c>
      <c r="I86" s="61">
        <v>4649.0476190476193</v>
      </c>
    </row>
    <row r="87" spans="7:9">
      <c r="G87" s="60">
        <f t="shared" si="1"/>
        <v>2010</v>
      </c>
      <c r="H87" s="222">
        <v>40179</v>
      </c>
      <c r="I87" s="61">
        <v>4655.5</v>
      </c>
    </row>
    <row r="88" spans="7:9">
      <c r="G88" s="60">
        <f t="shared" si="1"/>
        <v>2010</v>
      </c>
      <c r="H88" s="222">
        <v>40210</v>
      </c>
      <c r="I88" s="61">
        <v>4694.75</v>
      </c>
    </row>
    <row r="89" spans="7:9">
      <c r="G89" s="60">
        <f t="shared" si="1"/>
        <v>2010</v>
      </c>
      <c r="H89" s="222">
        <v>40238</v>
      </c>
      <c r="I89" s="61">
        <v>4693.909090909091</v>
      </c>
    </row>
    <row r="90" spans="7:9">
      <c r="G90" s="60">
        <f t="shared" si="1"/>
        <v>2010</v>
      </c>
      <c r="H90" s="222">
        <v>40269</v>
      </c>
      <c r="I90" s="61">
        <v>4700.1000000000004</v>
      </c>
    </row>
    <row r="91" spans="7:9">
      <c r="G91" s="60">
        <f t="shared" si="1"/>
        <v>2010</v>
      </c>
      <c r="H91" s="222">
        <v>40299</v>
      </c>
      <c r="I91" s="61">
        <v>4726.9523809523807</v>
      </c>
    </row>
    <row r="92" spans="7:9">
      <c r="G92" s="60">
        <f t="shared" si="1"/>
        <v>2010</v>
      </c>
      <c r="H92" s="222">
        <v>40330</v>
      </c>
      <c r="I92" s="61">
        <v>4752.090909090909</v>
      </c>
    </row>
    <row r="93" spans="7:9">
      <c r="G93" s="60">
        <f t="shared" si="1"/>
        <v>2010</v>
      </c>
      <c r="H93" s="222">
        <v>40360</v>
      </c>
      <c r="I93" s="61">
        <v>4757</v>
      </c>
    </row>
    <row r="94" spans="7:9">
      <c r="G94" s="60">
        <f t="shared" si="1"/>
        <v>2010</v>
      </c>
      <c r="H94" s="222">
        <v>40391</v>
      </c>
      <c r="I94" s="61">
        <v>4755.772727272727</v>
      </c>
    </row>
    <row r="95" spans="7:9">
      <c r="G95" s="60">
        <f t="shared" si="1"/>
        <v>2010</v>
      </c>
      <c r="H95" s="222">
        <v>40422</v>
      </c>
      <c r="I95" s="61">
        <v>4783.4761904761908</v>
      </c>
    </row>
    <row r="96" spans="7:9">
      <c r="G96" s="60">
        <f t="shared" si="1"/>
        <v>2010</v>
      </c>
      <c r="H96" s="222">
        <v>40452</v>
      </c>
      <c r="I96" s="61">
        <v>4917.1428571428569</v>
      </c>
    </row>
    <row r="97" spans="7:9">
      <c r="G97" s="60">
        <f t="shared" si="1"/>
        <v>2010</v>
      </c>
      <c r="H97" s="222">
        <v>40483</v>
      </c>
      <c r="I97" s="61">
        <v>4796.636363636364</v>
      </c>
    </row>
    <row r="98" spans="7:9">
      <c r="G98" s="60">
        <f t="shared" si="1"/>
        <v>2010</v>
      </c>
      <c r="H98" s="222">
        <v>40513</v>
      </c>
      <c r="I98" s="61">
        <v>4570.227272727273</v>
      </c>
    </row>
    <row r="99" spans="7:9">
      <c r="G99" s="60">
        <f t="shared" si="1"/>
        <v>2011</v>
      </c>
      <c r="H99" s="222">
        <v>40544</v>
      </c>
      <c r="I99" s="61">
        <v>4592.4285714285716</v>
      </c>
    </row>
    <row r="100" spans="7:9">
      <c r="G100" s="60">
        <f t="shared" si="1"/>
        <v>2011</v>
      </c>
      <c r="H100" s="222">
        <v>40575</v>
      </c>
      <c r="I100" s="61">
        <v>4587.3999999999996</v>
      </c>
    </row>
    <row r="101" spans="7:9">
      <c r="G101" s="60">
        <f t="shared" si="1"/>
        <v>2011</v>
      </c>
      <c r="H101" s="222">
        <v>40603</v>
      </c>
      <c r="I101" s="61">
        <v>4323.090909090909</v>
      </c>
    </row>
    <row r="102" spans="7:9">
      <c r="G102" s="60">
        <f t="shared" si="1"/>
        <v>2011</v>
      </c>
      <c r="H102" s="222">
        <v>40634</v>
      </c>
      <c r="I102" s="61">
        <v>4051.1052631578946</v>
      </c>
    </row>
    <row r="103" spans="7:9">
      <c r="G103" s="60">
        <f t="shared" si="1"/>
        <v>2011</v>
      </c>
      <c r="H103" s="222">
        <v>40664</v>
      </c>
      <c r="I103" s="61">
        <v>3994.3333333333335</v>
      </c>
    </row>
    <row r="104" spans="7:9">
      <c r="G104" s="60">
        <f t="shared" si="1"/>
        <v>2011</v>
      </c>
      <c r="H104" s="222">
        <v>40695</v>
      </c>
      <c r="I104" s="61">
        <v>3994.9545454545455</v>
      </c>
    </row>
    <row r="105" spans="7:9">
      <c r="G105" s="60">
        <f t="shared" si="1"/>
        <v>2011</v>
      </c>
      <c r="H105" s="222">
        <v>40725</v>
      </c>
      <c r="I105" s="61">
        <v>3926.0476190476193</v>
      </c>
    </row>
    <row r="106" spans="7:9">
      <c r="G106" s="60">
        <f t="shared" si="1"/>
        <v>2011</v>
      </c>
      <c r="H106" s="222">
        <v>40756</v>
      </c>
      <c r="I106" s="61">
        <v>3873.0454545454545</v>
      </c>
    </row>
    <row r="107" spans="7:9">
      <c r="G107" s="60">
        <f t="shared" si="1"/>
        <v>2011</v>
      </c>
      <c r="H107" s="222">
        <v>40787</v>
      </c>
      <c r="I107" s="61">
        <v>3996.5714285714284</v>
      </c>
    </row>
    <row r="108" spans="7:9">
      <c r="G108" s="60">
        <f t="shared" si="1"/>
        <v>2011</v>
      </c>
      <c r="H108" s="222">
        <v>40817</v>
      </c>
      <c r="I108" s="61">
        <v>4168.4285714285716</v>
      </c>
    </row>
    <row r="109" spans="7:9">
      <c r="G109" s="60">
        <f t="shared" si="1"/>
        <v>2011</v>
      </c>
      <c r="H109" s="222">
        <v>40848</v>
      </c>
      <c r="I109" s="61">
        <v>4309</v>
      </c>
    </row>
    <row r="110" spans="7:9">
      <c r="G110" s="60">
        <f t="shared" si="1"/>
        <v>2011</v>
      </c>
      <c r="H110" s="222">
        <v>40878</v>
      </c>
      <c r="I110" s="61">
        <v>4431.666666666667</v>
      </c>
    </row>
    <row r="111" spans="7:9">
      <c r="G111" s="60">
        <f t="shared" si="1"/>
        <v>2012</v>
      </c>
      <c r="H111" s="222">
        <v>40909</v>
      </c>
      <c r="I111" s="61">
        <v>4596.545454545455</v>
      </c>
    </row>
    <row r="112" spans="7:9">
      <c r="G112" s="60">
        <f t="shared" si="1"/>
        <v>2012</v>
      </c>
      <c r="H112" s="222">
        <v>40940</v>
      </c>
      <c r="I112" s="61">
        <v>4455.2857142857147</v>
      </c>
    </row>
    <row r="113" spans="7:9">
      <c r="G113" s="60">
        <f t="shared" si="1"/>
        <v>2012</v>
      </c>
      <c r="H113" s="222">
        <v>40969</v>
      </c>
      <c r="I113" s="61">
        <v>4284.0476190476193</v>
      </c>
    </row>
    <row r="114" spans="7:9">
      <c r="G114" s="60">
        <f t="shared" si="1"/>
        <v>2012</v>
      </c>
      <c r="H114" s="222">
        <v>41000</v>
      </c>
      <c r="I114" s="61">
        <v>4305.4736842105267</v>
      </c>
    </row>
    <row r="115" spans="7:9">
      <c r="G115" s="60">
        <f t="shared" si="1"/>
        <v>2012</v>
      </c>
      <c r="H115" s="222">
        <v>41030</v>
      </c>
      <c r="I115" s="61">
        <v>4369.1000000000004</v>
      </c>
    </row>
    <row r="116" spans="7:9">
      <c r="G116" s="60">
        <f t="shared" si="1"/>
        <v>2012</v>
      </c>
      <c r="H116" s="222">
        <v>41061</v>
      </c>
      <c r="I116" s="61">
        <v>4529.8999999999996</v>
      </c>
    </row>
    <row r="117" spans="7:9">
      <c r="G117" s="60">
        <f t="shared" si="1"/>
        <v>2012</v>
      </c>
      <c r="H117" s="222">
        <v>41091</v>
      </c>
      <c r="I117" s="61">
        <v>4438</v>
      </c>
    </row>
    <row r="118" spans="7:9">
      <c r="G118" s="60">
        <f t="shared" si="1"/>
        <v>2012</v>
      </c>
      <c r="H118" s="222">
        <v>41122</v>
      </c>
      <c r="I118" s="61">
        <v>4411.4507894736853</v>
      </c>
    </row>
    <row r="119" spans="7:9">
      <c r="G119" s="60">
        <f t="shared" si="1"/>
        <v>2012</v>
      </c>
      <c r="H119" s="222">
        <v>41153</v>
      </c>
      <c r="I119" s="61">
        <v>4424.5859999999993</v>
      </c>
    </row>
    <row r="120" spans="7:9">
      <c r="G120" s="60">
        <f t="shared" si="1"/>
        <v>2012</v>
      </c>
      <c r="H120" s="222">
        <v>41183</v>
      </c>
      <c r="I120" s="61">
        <v>4455.0123913043481</v>
      </c>
    </row>
    <row r="121" spans="7:9">
      <c r="G121" s="60">
        <f t="shared" si="1"/>
        <v>2012</v>
      </c>
      <c r="H121" s="222">
        <v>41214</v>
      </c>
      <c r="I121" s="61">
        <v>4460.1520454545462</v>
      </c>
    </row>
    <row r="122" spans="7:9">
      <c r="G122" s="60">
        <f t="shared" si="1"/>
        <v>2012</v>
      </c>
      <c r="H122" s="222">
        <v>41244</v>
      </c>
      <c r="I122" s="61">
        <v>4288.7688888888879</v>
      </c>
    </row>
    <row r="123" spans="7:9">
      <c r="G123" s="60">
        <f t="shared" si="1"/>
        <v>2013</v>
      </c>
      <c r="H123" s="222">
        <v>41275</v>
      </c>
      <c r="I123" s="61">
        <v>4187.5409090909088</v>
      </c>
    </row>
    <row r="124" spans="7:9">
      <c r="G124" s="60">
        <f t="shared" si="1"/>
        <v>2013</v>
      </c>
      <c r="H124" s="222">
        <v>41306</v>
      </c>
      <c r="I124" s="61">
        <v>4024.5557500000004</v>
      </c>
    </row>
    <row r="125" spans="7:9">
      <c r="G125" s="60">
        <f t="shared" si="1"/>
        <v>2013</v>
      </c>
      <c r="H125" s="222">
        <v>41334</v>
      </c>
      <c r="I125" s="61">
        <v>4002.1261111111107</v>
      </c>
    </row>
    <row r="126" spans="7:9">
      <c r="G126" s="60">
        <f t="shared" si="1"/>
        <v>2013</v>
      </c>
      <c r="H126" s="222">
        <v>41365</v>
      </c>
      <c r="I126" s="61">
        <v>4096.2215909090919</v>
      </c>
    </row>
    <row r="127" spans="7:9">
      <c r="G127" s="60">
        <f t="shared" si="1"/>
        <v>2013</v>
      </c>
      <c r="H127" s="222">
        <v>41395</v>
      </c>
      <c r="I127" s="61">
        <v>4197.4454999999998</v>
      </c>
    </row>
    <row r="128" spans="7:9">
      <c r="G128" s="60">
        <f t="shared" si="1"/>
        <v>2013</v>
      </c>
      <c r="H128" s="222">
        <v>41426</v>
      </c>
      <c r="I128" s="61">
        <v>4403.786578947369</v>
      </c>
    </row>
    <row r="129" spans="7:9">
      <c r="G129" s="60">
        <f t="shared" si="1"/>
        <v>2013</v>
      </c>
      <c r="H129" s="222">
        <v>41456</v>
      </c>
      <c r="I129" s="61">
        <v>4464.6306521739134</v>
      </c>
    </row>
    <row r="130" spans="7:9">
      <c r="G130" s="60">
        <f t="shared" si="1"/>
        <v>2013</v>
      </c>
      <c r="H130" s="222">
        <v>41487</v>
      </c>
      <c r="I130" s="61">
        <v>4429.5671428571422</v>
      </c>
    </row>
    <row r="131" spans="7:9">
      <c r="G131" s="60">
        <f t="shared" si="1"/>
        <v>2013</v>
      </c>
      <c r="H131" s="222">
        <v>41518</v>
      </c>
      <c r="I131" s="61">
        <v>4446.4216666666662</v>
      </c>
    </row>
    <row r="132" spans="7:9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>
      <c r="G133" s="60">
        <f t="shared" si="2"/>
        <v>2013</v>
      </c>
      <c r="H133" s="222">
        <v>41579</v>
      </c>
      <c r="I133" s="61">
        <v>4425.6828571428578</v>
      </c>
    </row>
    <row r="134" spans="7:9">
      <c r="G134" s="60">
        <f t="shared" si="2"/>
        <v>2013</v>
      </c>
      <c r="H134" s="222">
        <v>41609</v>
      </c>
      <c r="I134" s="61">
        <v>4520.2962500000003</v>
      </c>
    </row>
    <row r="135" spans="7:9">
      <c r="G135" s="60">
        <f t="shared" si="2"/>
        <v>2014</v>
      </c>
      <c r="H135" s="222">
        <v>41640</v>
      </c>
      <c r="I135" s="61">
        <v>4635.2174999999988</v>
      </c>
    </row>
    <row r="136" spans="7:9">
      <c r="G136" s="60">
        <f t="shared" si="2"/>
        <v>2014</v>
      </c>
      <c r="H136" s="222">
        <v>41671</v>
      </c>
      <c r="I136" s="61">
        <v>4512.6452499999996</v>
      </c>
    </row>
    <row r="137" spans="7:9">
      <c r="G137" s="60">
        <f t="shared" si="2"/>
        <v>2014</v>
      </c>
      <c r="H137" s="222">
        <v>41699</v>
      </c>
      <c r="I137" s="61">
        <v>4423.7776190476197</v>
      </c>
    </row>
    <row r="138" spans="7:9">
      <c r="G138" s="60">
        <f t="shared" si="2"/>
        <v>2014</v>
      </c>
      <c r="H138" s="222">
        <v>41730</v>
      </c>
      <c r="I138" s="61">
        <v>4433.2267499999998</v>
      </c>
    </row>
    <row r="139" spans="7:9">
      <c r="G139" s="60">
        <f t="shared" si="2"/>
        <v>2014</v>
      </c>
      <c r="H139" s="222">
        <v>41760</v>
      </c>
      <c r="I139" s="61">
        <v>4421.6336842105266</v>
      </c>
    </row>
    <row r="140" spans="7:9">
      <c r="G140" s="60">
        <f t="shared" si="2"/>
        <v>2014</v>
      </c>
      <c r="H140" s="222">
        <v>41791</v>
      </c>
      <c r="I140" s="61">
        <v>4404.7650000000003</v>
      </c>
    </row>
    <row r="141" spans="7:9">
      <c r="G141" s="60">
        <f t="shared" si="2"/>
        <v>2014</v>
      </c>
      <c r="H141" s="222">
        <v>41821</v>
      </c>
      <c r="I141" s="61">
        <v>4267.3069565217393</v>
      </c>
    </row>
    <row r="142" spans="7:9">
      <c r="G142" s="60">
        <f t="shared" si="2"/>
        <v>2014</v>
      </c>
      <c r="H142" s="222">
        <v>41852</v>
      </c>
      <c r="I142" s="61">
        <v>4267.8544999999995</v>
      </c>
    </row>
    <row r="143" spans="7:9">
      <c r="G143" s="60">
        <f t="shared" si="2"/>
        <v>2014</v>
      </c>
      <c r="H143" s="222">
        <v>41883</v>
      </c>
      <c r="I143" s="61">
        <v>4334.3785714285705</v>
      </c>
    </row>
    <row r="144" spans="7:9">
      <c r="G144" s="60">
        <f t="shared" si="2"/>
        <v>2014</v>
      </c>
      <c r="H144" s="222">
        <v>41913</v>
      </c>
      <c r="I144" s="61">
        <v>4574.266304347826</v>
      </c>
    </row>
    <row r="145" spans="7:9">
      <c r="G145" s="60">
        <f t="shared" si="2"/>
        <v>2014</v>
      </c>
      <c r="H145" s="222">
        <v>41944</v>
      </c>
      <c r="I145" s="61">
        <v>4641.8834999999981</v>
      </c>
    </row>
    <row r="146" spans="7:9">
      <c r="G146" s="60">
        <f t="shared" si="2"/>
        <v>2014</v>
      </c>
      <c r="H146" s="222">
        <v>41974</v>
      </c>
      <c r="I146" s="61">
        <v>4629.9038095238093</v>
      </c>
    </row>
    <row r="147" spans="7:9">
      <c r="G147" s="60">
        <f t="shared" si="2"/>
        <v>2015</v>
      </c>
      <c r="H147" s="222">
        <v>42005</v>
      </c>
      <c r="I147" s="61">
        <v>4753.5238095238092</v>
      </c>
    </row>
    <row r="148" spans="7:9">
      <c r="G148" s="60">
        <f t="shared" si="2"/>
        <v>2015</v>
      </c>
      <c r="H148" s="222">
        <v>42036</v>
      </c>
      <c r="I148" s="61">
        <v>4760.0457499999993</v>
      </c>
    </row>
    <row r="149" spans="7:9">
      <c r="G149" s="60">
        <f t="shared" si="2"/>
        <v>2015</v>
      </c>
      <c r="H149" s="222">
        <v>42064</v>
      </c>
      <c r="I149" s="61">
        <v>4765.0093181818183</v>
      </c>
    </row>
    <row r="150" spans="7:9">
      <c r="G150" s="60">
        <f t="shared" si="2"/>
        <v>2015</v>
      </c>
      <c r="H150" s="222">
        <v>42095</v>
      </c>
      <c r="I150" s="61">
        <v>4962.6759999999986</v>
      </c>
    </row>
    <row r="151" spans="7:9">
      <c r="G151" s="60">
        <f t="shared" si="2"/>
        <v>2015</v>
      </c>
      <c r="H151" s="222">
        <v>42125</v>
      </c>
      <c r="I151" s="61">
        <v>5069.1372222222217</v>
      </c>
    </row>
    <row r="152" spans="7:9">
      <c r="G152" s="60">
        <f t="shared" si="2"/>
        <v>2015</v>
      </c>
      <c r="H152" s="222">
        <v>42156</v>
      </c>
      <c r="I152" s="61">
        <v>5136.5576190476186</v>
      </c>
    </row>
    <row r="153" spans="7:9">
      <c r="G153" s="60">
        <f t="shared" si="2"/>
        <v>2015</v>
      </c>
      <c r="H153" s="222">
        <v>42186</v>
      </c>
      <c r="I153" s="61">
        <v>5151.6581818181821</v>
      </c>
    </row>
    <row r="154" spans="7:9">
      <c r="G154" s="60">
        <f t="shared" si="2"/>
        <v>2015</v>
      </c>
      <c r="H154" s="222">
        <v>42217</v>
      </c>
      <c r="I154" s="61">
        <v>5262.0709523809528</v>
      </c>
    </row>
    <row r="155" spans="7:9">
      <c r="G155" s="60">
        <f t="shared" si="2"/>
        <v>2015</v>
      </c>
      <c r="H155" s="222">
        <v>42248</v>
      </c>
      <c r="I155" s="61">
        <v>5506.5976190476194</v>
      </c>
    </row>
    <row r="156" spans="7:9">
      <c r="G156" s="60">
        <f t="shared" si="2"/>
        <v>2015</v>
      </c>
      <c r="H156" s="222">
        <v>42278</v>
      </c>
      <c r="I156" s="61">
        <v>5650.5972727272729</v>
      </c>
    </row>
    <row r="157" spans="7:9">
      <c r="G157" s="60">
        <f t="shared" si="2"/>
        <v>2015</v>
      </c>
      <c r="H157" s="222">
        <v>42309</v>
      </c>
      <c r="I157" s="61">
        <v>5638.6973809523806</v>
      </c>
    </row>
    <row r="158" spans="7:9">
      <c r="G158" s="60">
        <f t="shared" si="2"/>
        <v>2015</v>
      </c>
      <c r="H158" s="222">
        <v>42339</v>
      </c>
      <c r="I158" s="61">
        <v>5802.4785714285717</v>
      </c>
    </row>
    <row r="159" spans="7:9">
      <c r="G159" s="60">
        <f t="shared" si="2"/>
        <v>2016</v>
      </c>
      <c r="H159" s="222">
        <v>42370</v>
      </c>
      <c r="I159" s="61">
        <v>5907.2377500000002</v>
      </c>
    </row>
    <row r="160" spans="7:9">
      <c r="G160" s="60">
        <f t="shared" si="2"/>
        <v>2016</v>
      </c>
      <c r="H160" s="222">
        <v>42401</v>
      </c>
      <c r="I160" s="61">
        <v>5792.0097499999993</v>
      </c>
    </row>
    <row r="161" spans="7:9">
      <c r="G161" s="60">
        <f t="shared" si="2"/>
        <v>2016</v>
      </c>
      <c r="H161" s="222">
        <v>42430</v>
      </c>
      <c r="I161" s="61">
        <v>5694.6371428571429</v>
      </c>
    </row>
    <row r="162" spans="7:9">
      <c r="G162" s="60">
        <f t="shared" si="2"/>
        <v>2016</v>
      </c>
      <c r="H162" s="222">
        <v>42461</v>
      </c>
      <c r="I162" s="61">
        <v>5567.504047619047</v>
      </c>
    </row>
    <row r="163" spans="7:9">
      <c r="G163" s="60">
        <f t="shared" si="2"/>
        <v>2016</v>
      </c>
      <c r="H163" s="222">
        <v>42491</v>
      </c>
      <c r="I163" s="61">
        <v>5619.4034090909099</v>
      </c>
    </row>
    <row r="164" spans="7:9">
      <c r="G164" s="60">
        <f t="shared" si="2"/>
        <v>2016</v>
      </c>
      <c r="H164" s="222">
        <v>42522</v>
      </c>
      <c r="I164" s="61">
        <v>5639.0154545454552</v>
      </c>
    </row>
    <row r="165" spans="7:9">
      <c r="G165" s="60">
        <f t="shared" si="2"/>
        <v>2016</v>
      </c>
      <c r="H165" s="222">
        <v>42552</v>
      </c>
      <c r="I165" s="61">
        <v>5559.9740476190473</v>
      </c>
    </row>
    <row r="166" spans="7:9">
      <c r="G166" s="60">
        <f t="shared" si="2"/>
        <v>2016</v>
      </c>
      <c r="H166" s="222">
        <v>42583</v>
      </c>
      <c r="I166" s="61">
        <v>5517.499772727273</v>
      </c>
    </row>
    <row r="167" spans="7:9">
      <c r="G167" s="60">
        <f t="shared" si="2"/>
        <v>2016</v>
      </c>
      <c r="H167" s="222">
        <v>42614</v>
      </c>
      <c r="I167" s="61">
        <v>5558.0140909090906</v>
      </c>
    </row>
    <row r="168" spans="7:9">
      <c r="G168" s="60">
        <f t="shared" si="2"/>
        <v>2016</v>
      </c>
      <c r="H168" s="222">
        <v>42644</v>
      </c>
      <c r="I168" s="61">
        <v>5632.5417500000003</v>
      </c>
    </row>
    <row r="169" spans="7:9">
      <c r="G169" s="60">
        <f t="shared" si="2"/>
        <v>2016</v>
      </c>
      <c r="H169" s="222">
        <v>42675</v>
      </c>
      <c r="I169" s="61">
        <v>5772.7602272727272</v>
      </c>
    </row>
    <row r="170" spans="7:9">
      <c r="G170" s="60">
        <f t="shared" si="2"/>
        <v>2016</v>
      </c>
      <c r="H170" s="222">
        <v>42705</v>
      </c>
      <c r="I170" s="61">
        <v>5785.8933333333343</v>
      </c>
    </row>
    <row r="171" spans="7:9">
      <c r="G171" s="60">
        <f t="shared" si="2"/>
        <v>2017</v>
      </c>
      <c r="H171" s="222">
        <v>42736</v>
      </c>
      <c r="I171" s="61">
        <v>5754.4786363636376</v>
      </c>
    </row>
    <row r="172" spans="7:9">
      <c r="G172" s="60">
        <f t="shared" si="2"/>
        <v>2017</v>
      </c>
      <c r="H172" s="222">
        <v>42767</v>
      </c>
      <c r="I172" s="61">
        <v>5676.7468421052636</v>
      </c>
    </row>
    <row r="173" spans="7:9">
      <c r="G173" s="60">
        <f t="shared" si="2"/>
        <v>2017</v>
      </c>
      <c r="H173" s="222">
        <v>42795</v>
      </c>
      <c r="I173" s="61">
        <v>5528.5432608695646</v>
      </c>
    </row>
    <row r="174" spans="7:9">
      <c r="G174" s="60">
        <f t="shared" si="2"/>
        <v>2017</v>
      </c>
      <c r="H174" s="222">
        <v>42826</v>
      </c>
      <c r="I174" s="61">
        <v>5569.53</v>
      </c>
    </row>
    <row r="175" spans="7:9">
      <c r="G175" s="60">
        <f t="shared" si="2"/>
        <v>2017</v>
      </c>
      <c r="H175" s="222">
        <v>42856</v>
      </c>
      <c r="I175" s="61">
        <v>5590.9892857142868</v>
      </c>
    </row>
    <row r="176" spans="7:9">
      <c r="G176" s="60">
        <f t="shared" si="2"/>
        <v>2017</v>
      </c>
      <c r="H176" s="222">
        <v>42887</v>
      </c>
      <c r="I176" s="61">
        <v>5572.091428571428</v>
      </c>
    </row>
    <row r="177" spans="7:9">
      <c r="G177" s="60">
        <f t="shared" si="2"/>
        <v>2017</v>
      </c>
      <c r="H177" s="222">
        <v>42917</v>
      </c>
      <c r="I177" s="61">
        <v>5550.9911904761912</v>
      </c>
    </row>
    <row r="178" spans="7:9">
      <c r="G178" s="60">
        <f t="shared" si="2"/>
        <v>2017</v>
      </c>
      <c r="H178" s="222">
        <v>42948</v>
      </c>
      <c r="I178" s="61">
        <v>5596.3193181818169</v>
      </c>
    </row>
    <row r="179" spans="7:9">
      <c r="G179" s="60">
        <f t="shared" si="2"/>
        <v>2017</v>
      </c>
      <c r="H179" s="222">
        <v>42979</v>
      </c>
      <c r="I179" s="61">
        <v>5658.9171428571426</v>
      </c>
    </row>
    <row r="180" spans="7:9">
      <c r="G180" s="60">
        <f t="shared" si="2"/>
        <v>2017</v>
      </c>
      <c r="H180" s="222">
        <v>43009</v>
      </c>
      <c r="I180" s="61">
        <v>5642.3221428571433</v>
      </c>
    </row>
    <row r="181" spans="7:9">
      <c r="G181" s="60">
        <f t="shared" si="2"/>
        <v>2017</v>
      </c>
      <c r="H181" s="222">
        <v>43040</v>
      </c>
      <c r="I181" s="61">
        <v>5655.5127272727286</v>
      </c>
    </row>
    <row r="182" spans="7:9">
      <c r="G182" s="60">
        <f t="shared" si="2"/>
        <v>2017</v>
      </c>
      <c r="H182" s="222">
        <v>43070</v>
      </c>
      <c r="I182" s="61">
        <v>5630.7594444444439</v>
      </c>
    </row>
    <row r="183" spans="7:9">
      <c r="G183" s="60">
        <f t="shared" si="2"/>
        <v>2018</v>
      </c>
      <c r="H183" s="222">
        <v>43101</v>
      </c>
      <c r="I183" s="61">
        <v>5619.7988636363634</v>
      </c>
    </row>
    <row r="184" spans="7:9">
      <c r="G184" s="60">
        <f t="shared" si="2"/>
        <v>2018</v>
      </c>
      <c r="H184" s="222">
        <v>43132</v>
      </c>
      <c r="I184" s="61">
        <v>5583.5902631578947</v>
      </c>
    </row>
    <row r="185" spans="7:9">
      <c r="G185" s="60">
        <f t="shared" si="2"/>
        <v>2018</v>
      </c>
      <c r="H185" s="222">
        <v>43160</v>
      </c>
      <c r="I185" s="61">
        <v>5531.7945</v>
      </c>
    </row>
    <row r="186" spans="7:9">
      <c r="G186" s="60">
        <f t="shared" si="2"/>
        <v>2018</v>
      </c>
      <c r="H186" s="222">
        <v>43191</v>
      </c>
      <c r="I186" s="61">
        <v>5545.9042857142867</v>
      </c>
    </row>
    <row r="187" spans="7:9">
      <c r="G187" s="60">
        <f t="shared" si="2"/>
        <v>2018</v>
      </c>
      <c r="H187" s="222">
        <v>43221</v>
      </c>
      <c r="I187" s="61">
        <v>5642.4882500000003</v>
      </c>
    </row>
    <row r="188" spans="7:9">
      <c r="G188" s="60">
        <f t="shared" si="2"/>
        <v>2018</v>
      </c>
      <c r="H188" s="222">
        <v>43252</v>
      </c>
      <c r="I188" s="61">
        <v>5685.003999999999</v>
      </c>
    </row>
    <row r="189" spans="7:9">
      <c r="G189" s="60">
        <f t="shared" si="2"/>
        <v>2018</v>
      </c>
      <c r="H189" s="222">
        <v>43282</v>
      </c>
      <c r="I189" s="61">
        <v>5723.0275000000001</v>
      </c>
    </row>
    <row r="190" spans="7:9">
      <c r="G190" s="60">
        <f t="shared" si="2"/>
        <v>2018</v>
      </c>
      <c r="H190" s="222">
        <v>43313</v>
      </c>
      <c r="I190" s="61">
        <v>5780.2654545454598</v>
      </c>
    </row>
    <row r="191" spans="7:9">
      <c r="G191" s="60">
        <f t="shared" si="2"/>
        <v>2018</v>
      </c>
      <c r="H191" s="222">
        <v>43344</v>
      </c>
      <c r="I191" s="61">
        <v>5855.1445000000003</v>
      </c>
    </row>
    <row r="192" spans="7:9">
      <c r="G192" s="60">
        <f t="shared" si="2"/>
        <v>2018</v>
      </c>
      <c r="H192" s="222">
        <v>43374</v>
      </c>
      <c r="I192" s="61">
        <v>5954.3156521739129</v>
      </c>
    </row>
    <row r="193" spans="7:9">
      <c r="G193" s="60">
        <f t="shared" si="2"/>
        <v>2018</v>
      </c>
      <c r="H193" s="222">
        <v>43405</v>
      </c>
      <c r="I193" s="61">
        <v>5936.2461363636357</v>
      </c>
    </row>
    <row r="194" spans="7:9">
      <c r="G194" s="60">
        <f t="shared" si="2"/>
        <v>2018</v>
      </c>
      <c r="H194" s="222">
        <v>43435</v>
      </c>
      <c r="I194" s="61">
        <v>5927.6755263157902</v>
      </c>
    </row>
    <row r="195" spans="7:9">
      <c r="G195" s="60">
        <f t="shared" si="2"/>
        <v>2019</v>
      </c>
      <c r="H195" s="222">
        <v>43466</v>
      </c>
      <c r="I195" s="61">
        <v>6038.7336363636368</v>
      </c>
    </row>
    <row r="196" spans="7:9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>
      <c r="G197" s="60">
        <f t="shared" si="3"/>
        <v>2019</v>
      </c>
      <c r="H197" s="222">
        <v>43525</v>
      </c>
      <c r="I197" s="61">
        <v>6129.5292499999996</v>
      </c>
    </row>
    <row r="198" spans="7:9">
      <c r="G198" s="60">
        <f t="shared" si="3"/>
        <v>2019</v>
      </c>
      <c r="H198" s="222">
        <v>43556</v>
      </c>
      <c r="I198" s="61">
        <v>6230.0030000000006</v>
      </c>
    </row>
    <row r="199" spans="7:9">
      <c r="G199" s="60">
        <f t="shared" si="3"/>
        <v>2019</v>
      </c>
      <c r="H199" s="222">
        <v>43586</v>
      </c>
      <c r="I199" s="61">
        <v>6316.5212499999998</v>
      </c>
    </row>
    <row r="200" spans="7:9">
      <c r="G200" s="60">
        <f t="shared" si="3"/>
        <v>2019</v>
      </c>
      <c r="H200" s="222">
        <v>43617</v>
      </c>
      <c r="I200" s="61">
        <v>6233.7244736842104</v>
      </c>
    </row>
    <row r="201" spans="7:9">
      <c r="G201" s="60">
        <f t="shared" si="3"/>
        <v>2019</v>
      </c>
      <c r="H201" s="222">
        <v>43647</v>
      </c>
      <c r="I201" s="61">
        <v>6054.9095652173919</v>
      </c>
    </row>
    <row r="202" spans="7:9">
      <c r="G202" s="60">
        <f t="shared" si="3"/>
        <v>2019</v>
      </c>
      <c r="H202" s="222">
        <v>43678</v>
      </c>
      <c r="I202" s="61">
        <v>6143.6290476190479</v>
      </c>
    </row>
    <row r="203" spans="7:9">
      <c r="G203" s="60">
        <f t="shared" si="3"/>
        <v>2019</v>
      </c>
      <c r="H203" s="222">
        <v>43709</v>
      </c>
      <c r="I203" s="61">
        <v>6338.7961904761905</v>
      </c>
    </row>
    <row r="204" spans="7:9">
      <c r="G204" s="60">
        <f t="shared" si="3"/>
        <v>2019</v>
      </c>
      <c r="H204" s="222">
        <v>43739</v>
      </c>
      <c r="I204" s="61">
        <v>6439.38195652174</v>
      </c>
    </row>
    <row r="205" spans="7:9">
      <c r="G205" s="60">
        <f t="shared" si="3"/>
        <v>2019</v>
      </c>
      <c r="H205" s="222">
        <v>43770</v>
      </c>
      <c r="I205" s="61">
        <v>6454.8885714285725</v>
      </c>
    </row>
    <row r="206" spans="7:9">
      <c r="G206" s="60">
        <f t="shared" si="3"/>
        <v>2019</v>
      </c>
      <c r="H206" s="222">
        <v>43800</v>
      </c>
      <c r="I206" s="61">
        <v>6449.6112499999999</v>
      </c>
    </row>
    <row r="207" spans="7:9">
      <c r="G207" s="60">
        <f t="shared" si="3"/>
        <v>2020</v>
      </c>
      <c r="H207" s="222">
        <v>43831</v>
      </c>
      <c r="I207" s="61">
        <v>6515.7597727272723</v>
      </c>
    </row>
    <row r="208" spans="7:9">
      <c r="G208" s="60">
        <f t="shared" si="3"/>
        <v>2020</v>
      </c>
      <c r="H208" s="222">
        <v>43862</v>
      </c>
      <c r="I208" s="61">
        <v>6521.4484999999995</v>
      </c>
    </row>
    <row r="209" spans="7:9">
      <c r="G209" s="60">
        <f t="shared" si="3"/>
        <v>2020</v>
      </c>
      <c r="H209" s="222">
        <v>43891</v>
      </c>
      <c r="I209" s="61">
        <v>6576.6556818181816</v>
      </c>
    </row>
    <row r="210" spans="7:9">
      <c r="G210" s="60">
        <f t="shared" si="3"/>
        <v>2020</v>
      </c>
      <c r="H210" s="222">
        <v>43922</v>
      </c>
      <c r="I210" s="61">
        <v>6510.1826315789476</v>
      </c>
    </row>
    <row r="211" spans="7:9">
      <c r="G211" s="60">
        <f t="shared" si="3"/>
        <v>2020</v>
      </c>
      <c r="H211" s="222">
        <v>43952</v>
      </c>
      <c r="I211" s="61">
        <v>6589.564166666667</v>
      </c>
    </row>
    <row r="212" spans="7:9">
      <c r="G212" s="60">
        <f t="shared" si="3"/>
        <v>2020</v>
      </c>
      <c r="H212" s="222">
        <v>43983</v>
      </c>
      <c r="I212" s="61">
        <v>6708.4919047619042</v>
      </c>
    </row>
    <row r="213" spans="7:9">
      <c r="G213" s="60">
        <f t="shared" si="3"/>
        <v>2020</v>
      </c>
      <c r="H213" s="222">
        <v>44013</v>
      </c>
      <c r="I213" s="61">
        <v>6900.7300000000005</v>
      </c>
    </row>
    <row r="214" spans="7:9">
      <c r="G214" s="60">
        <f t="shared" si="3"/>
        <v>2020</v>
      </c>
      <c r="H214" s="222">
        <v>44044</v>
      </c>
      <c r="I214" s="61">
        <v>6950.9492857142859</v>
      </c>
    </row>
    <row r="215" spans="7:9">
      <c r="G215" s="60">
        <f t="shared" si="3"/>
        <v>2020</v>
      </c>
      <c r="H215" s="222">
        <v>44075</v>
      </c>
      <c r="I215" s="61">
        <v>6984.941904761904</v>
      </c>
    </row>
    <row r="216" spans="7:9">
      <c r="G216" s="60">
        <f t="shared" si="3"/>
        <v>2020</v>
      </c>
      <c r="H216" s="222">
        <v>44105</v>
      </c>
      <c r="I216" s="61">
        <v>7018.63590909091</v>
      </c>
    </row>
    <row r="217" spans="7:9">
      <c r="G217" s="60">
        <f t="shared" si="3"/>
        <v>2020</v>
      </c>
      <c r="H217" s="222">
        <v>44136</v>
      </c>
      <c r="I217" s="61">
        <v>7031.8280952380956</v>
      </c>
    </row>
    <row r="218" spans="7:9">
      <c r="G218" s="60">
        <f t="shared" si="3"/>
        <v>2020</v>
      </c>
      <c r="H218" s="222">
        <v>44166</v>
      </c>
      <c r="I218" s="61">
        <v>6943.9812499999989</v>
      </c>
    </row>
    <row r="219" spans="7:9">
      <c r="G219" s="60">
        <f t="shared" si="3"/>
        <v>2021</v>
      </c>
      <c r="H219" s="222">
        <v>44197</v>
      </c>
      <c r="I219" s="61">
        <v>6902.8254999999999</v>
      </c>
    </row>
    <row r="220" spans="7:9">
      <c r="G220" s="60">
        <f t="shared" si="3"/>
        <v>2021</v>
      </c>
      <c r="H220" s="222">
        <v>44228</v>
      </c>
      <c r="I220" s="61">
        <v>6723.152</v>
      </c>
    </row>
    <row r="221" spans="7:9">
      <c r="G221" s="60">
        <f t="shared" si="3"/>
        <v>2021</v>
      </c>
      <c r="H221" s="222">
        <v>44256</v>
      </c>
      <c r="I221" s="61">
        <v>6539.7484090909093</v>
      </c>
    </row>
    <row r="222" spans="7:9">
      <c r="G222" s="60">
        <f t="shared" si="3"/>
        <v>2021</v>
      </c>
      <c r="H222" s="222">
        <v>44287</v>
      </c>
      <c r="I222" s="61">
        <v>6410.7487500000007</v>
      </c>
    </row>
    <row r="223" spans="7:9">
      <c r="G223" s="60">
        <f t="shared" si="3"/>
        <v>2021</v>
      </c>
      <c r="H223" s="222">
        <v>44317</v>
      </c>
      <c r="I223" s="61">
        <v>6717.3797500000001</v>
      </c>
    </row>
    <row r="224" spans="7:9">
      <c r="G224" s="60">
        <f t="shared" si="3"/>
        <v>2021</v>
      </c>
      <c r="H224" s="222">
        <v>44348</v>
      </c>
      <c r="I224" s="61">
        <v>6744.5118181818189</v>
      </c>
    </row>
    <row r="225" spans="7:9">
      <c r="G225" s="60">
        <f t="shared" si="3"/>
        <v>2021</v>
      </c>
      <c r="H225" s="222">
        <v>44378</v>
      </c>
      <c r="I225" s="61">
        <v>6848.1768181818188</v>
      </c>
    </row>
    <row r="226" spans="7:9">
      <c r="G226" s="60">
        <f t="shared" si="3"/>
        <v>2021</v>
      </c>
      <c r="H226" s="222">
        <v>44409</v>
      </c>
      <c r="I226" s="61">
        <v>6926.4577272727274</v>
      </c>
    </row>
    <row r="227" spans="7:9">
      <c r="G227" s="60">
        <f t="shared" si="3"/>
        <v>2021</v>
      </c>
      <c r="H227" s="222">
        <v>44440</v>
      </c>
      <c r="I227" s="61">
        <v>6898.7559523809514</v>
      </c>
    </row>
    <row r="228" spans="7:9">
      <c r="G228" s="60">
        <f t="shared" si="3"/>
        <v>2021</v>
      </c>
      <c r="H228" s="222">
        <v>44470</v>
      </c>
      <c r="I228" s="61">
        <v>6907.0061904761906</v>
      </c>
    </row>
    <row r="229" spans="7:9">
      <c r="G229" s="60">
        <f t="shared" si="3"/>
        <v>2021</v>
      </c>
      <c r="H229" s="222">
        <v>44501</v>
      </c>
      <c r="I229" s="61">
        <v>6855.6470454545452</v>
      </c>
    </row>
    <row r="230" spans="7:9">
      <c r="G230" s="60">
        <f t="shared" si="3"/>
        <v>2021</v>
      </c>
      <c r="H230" s="222">
        <v>44531</v>
      </c>
      <c r="I230" s="61">
        <v>6815.5428571428565</v>
      </c>
    </row>
    <row r="231" spans="7:9">
      <c r="G231" s="60">
        <f t="shared" si="3"/>
        <v>2022</v>
      </c>
      <c r="H231" s="222">
        <v>44562</v>
      </c>
      <c r="I231" s="61">
        <v>6986.9590476190479</v>
      </c>
    </row>
    <row r="232" spans="7:9">
      <c r="G232" s="60">
        <f t="shared" si="3"/>
        <v>2022</v>
      </c>
      <c r="H232" s="222">
        <v>44593</v>
      </c>
      <c r="I232" s="61">
        <v>6966.1513157894742</v>
      </c>
    </row>
    <row r="233" spans="7:9">
      <c r="G233" s="60">
        <f t="shared" si="3"/>
        <v>2022</v>
      </c>
      <c r="H233" s="222">
        <v>44621</v>
      </c>
      <c r="I233" s="61">
        <v>6962.944130434782</v>
      </c>
    </row>
    <row r="234" spans="7:9">
      <c r="G234" s="60">
        <f t="shared" si="3"/>
        <v>2022</v>
      </c>
      <c r="H234" s="222">
        <v>44652</v>
      </c>
      <c r="I234" s="61">
        <v>6851.9389473684205</v>
      </c>
    </row>
    <row r="235" spans="7:9">
      <c r="G235" s="60">
        <f t="shared" si="3"/>
        <v>2022</v>
      </c>
      <c r="H235" s="222">
        <v>44682</v>
      </c>
      <c r="I235" s="61">
        <v>6852.8014285714289</v>
      </c>
    </row>
    <row r="236" spans="7:9">
      <c r="G236" s="60">
        <f t="shared" si="3"/>
        <v>2022</v>
      </c>
      <c r="H236" s="222">
        <v>44713</v>
      </c>
      <c r="I236" s="61">
        <v>6858.1115909090913</v>
      </c>
    </row>
    <row r="237" spans="7:9">
      <c r="G237" s="60">
        <f t="shared" si="3"/>
        <v>2022</v>
      </c>
      <c r="H237" s="222">
        <v>44743</v>
      </c>
      <c r="I237" s="61">
        <v>6868.3819047619063</v>
      </c>
    </row>
    <row r="238" spans="7:9">
      <c r="G238" s="60">
        <f t="shared" si="3"/>
        <v>2022</v>
      </c>
      <c r="H238" s="222">
        <v>44774</v>
      </c>
      <c r="I238" s="61">
        <v>6874.4722727272738</v>
      </c>
    </row>
    <row r="239" spans="7:9">
      <c r="G239" s="60">
        <f t="shared" si="3"/>
        <v>2022</v>
      </c>
      <c r="H239" s="222">
        <v>44805</v>
      </c>
      <c r="I239" s="61">
        <v>6974.2354545454546</v>
      </c>
    </row>
    <row r="240" spans="7:9">
      <c r="G240" s="60">
        <f t="shared" si="3"/>
        <v>2022</v>
      </c>
      <c r="H240" s="222">
        <v>44835</v>
      </c>
      <c r="I240" s="61">
        <v>7176.8442500000001</v>
      </c>
    </row>
    <row r="241" spans="7:9">
      <c r="G241" s="60">
        <f t="shared" si="3"/>
        <v>2022</v>
      </c>
      <c r="H241" s="222">
        <v>44866</v>
      </c>
      <c r="I241" s="61">
        <v>7181.5261904761901</v>
      </c>
    </row>
    <row r="242" spans="7:9">
      <c r="G242" s="60">
        <f t="shared" si="3"/>
        <v>2022</v>
      </c>
      <c r="H242" s="222">
        <v>44896</v>
      </c>
      <c r="I242" s="61">
        <v>7238.6619999999984</v>
      </c>
    </row>
    <row r="243" spans="7:9">
      <c r="G243" s="60">
        <f t="shared" si="3"/>
        <v>2023</v>
      </c>
      <c r="H243" s="222">
        <v>44927</v>
      </c>
      <c r="I243" s="61">
        <v>7373.170681818181</v>
      </c>
    </row>
    <row r="244" spans="7:9">
      <c r="G244" s="60">
        <f t="shared" si="3"/>
        <v>2023</v>
      </c>
      <c r="H244" s="222">
        <v>44958</v>
      </c>
      <c r="I244" s="61">
        <v>7292.0576315789476</v>
      </c>
    </row>
    <row r="245" spans="7:9">
      <c r="G245" s="60">
        <f t="shared" si="3"/>
        <v>2023</v>
      </c>
      <c r="H245" s="222">
        <v>44986</v>
      </c>
      <c r="I245" s="61">
        <v>7184.7078260869566</v>
      </c>
    </row>
    <row r="246" spans="7:9">
      <c r="G246" s="60">
        <f t="shared" si="3"/>
        <v>2023</v>
      </c>
      <c r="H246" s="222">
        <v>45017</v>
      </c>
      <c r="I246" s="61">
        <v>7173.0261111111104</v>
      </c>
    </row>
    <row r="247" spans="7:9">
      <c r="G247" s="60">
        <f t="shared" si="3"/>
        <v>2023</v>
      </c>
      <c r="H247" s="222">
        <v>45047</v>
      </c>
      <c r="I247" s="61">
        <v>7207.7045238095252</v>
      </c>
    </row>
    <row r="248" spans="7:9">
      <c r="G248" s="60">
        <f t="shared" si="3"/>
        <v>2023</v>
      </c>
      <c r="H248" s="222">
        <v>45078</v>
      </c>
      <c r="I248" s="61">
        <v>7251.6616666666669</v>
      </c>
    </row>
    <row r="249" spans="7:9">
      <c r="G249" s="60">
        <f t="shared" si="3"/>
        <v>2023</v>
      </c>
      <c r="H249" s="222">
        <v>45108</v>
      </c>
      <c r="I249" s="61">
        <v>7272.6780952380959</v>
      </c>
    </row>
    <row r="250" spans="7:9">
      <c r="G250" s="60">
        <f t="shared" si="3"/>
        <v>2023</v>
      </c>
      <c r="H250" s="222">
        <v>45139</v>
      </c>
      <c r="I250" s="61">
        <v>7273.1797727272724</v>
      </c>
    </row>
    <row r="251" spans="7:9">
      <c r="G251" s="60">
        <f t="shared" si="3"/>
        <v>2023</v>
      </c>
      <c r="H251" s="222">
        <v>45170</v>
      </c>
      <c r="I251" s="61">
        <v>7276.0522500000006</v>
      </c>
    </row>
    <row r="252" spans="7:9">
      <c r="G252" s="60">
        <f t="shared" si="3"/>
        <v>2023</v>
      </c>
      <c r="H252" s="222">
        <v>45200</v>
      </c>
      <c r="I252" s="61">
        <v>7384.8424999999988</v>
      </c>
    </row>
    <row r="253" spans="7:9">
      <c r="G253" s="60">
        <f t="shared" si="3"/>
        <v>2023</v>
      </c>
      <c r="H253" s="222">
        <v>45231</v>
      </c>
      <c r="I253" s="61">
        <v>7442.1713636363629</v>
      </c>
    </row>
    <row r="254" spans="7:9">
      <c r="G254" s="60">
        <f t="shared" si="3"/>
        <v>2023</v>
      </c>
      <c r="H254" s="222">
        <v>45261</v>
      </c>
      <c r="I254" s="61">
        <v>7335.2122222222233</v>
      </c>
    </row>
    <row r="255" spans="7:9">
      <c r="G255" s="60">
        <f t="shared" si="3"/>
        <v>2024</v>
      </c>
      <c r="H255" s="222">
        <v>45292</v>
      </c>
      <c r="I255" s="61">
        <v>7282.9988636363632</v>
      </c>
    </row>
    <row r="256" spans="7:9">
      <c r="G256" s="60">
        <f t="shared" si="3"/>
        <v>2024</v>
      </c>
      <c r="H256" s="222">
        <v>45323</v>
      </c>
      <c r="I256" s="61">
        <v>7285.0480952380958</v>
      </c>
    </row>
    <row r="257" spans="7:9">
      <c r="G257" s="60">
        <f t="shared" si="3"/>
        <v>2024</v>
      </c>
      <c r="H257" s="222">
        <v>45352</v>
      </c>
      <c r="I257" s="61">
        <v>7317.5874999999996</v>
      </c>
    </row>
    <row r="258" spans="7:9">
      <c r="G258" s="60">
        <f t="shared" si="3"/>
        <v>2024</v>
      </c>
      <c r="H258" s="222">
        <v>45383</v>
      </c>
      <c r="I258" s="61">
        <v>7405.4070454545454</v>
      </c>
    </row>
    <row r="259" spans="7:9">
      <c r="G259" s="60">
        <f t="shared" si="3"/>
        <v>2024</v>
      </c>
      <c r="H259" s="222">
        <v>45413</v>
      </c>
      <c r="I259" s="61">
        <v>7506.9517499999993</v>
      </c>
    </row>
    <row r="260" spans="7:9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>
      <c r="G261" s="60">
        <f t="shared" si="4"/>
        <v>2024</v>
      </c>
      <c r="H261" s="222">
        <v>45474</v>
      </c>
      <c r="I261" s="61">
        <v>7554.6780434782604</v>
      </c>
    </row>
    <row r="262" spans="7:9">
      <c r="G262" s="60">
        <f t="shared" si="4"/>
        <v>2024</v>
      </c>
      <c r="H262" s="222">
        <v>45505</v>
      </c>
      <c r="I262" s="61">
        <v>7594.0761904761894</v>
      </c>
    </row>
    <row r="263" spans="7:9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>
      <c r="G265" s="60">
        <f t="shared" si="6"/>
        <v>2024</v>
      </c>
      <c r="H265" s="222">
        <v>45597</v>
      </c>
      <c r="I265" s="61">
        <v>7805.0828571428574</v>
      </c>
    </row>
    <row r="266" spans="7:9">
      <c r="G266" s="60">
        <f t="shared" ref="G266:G290" si="7">YEAR(H266)</f>
        <v>2024</v>
      </c>
      <c r="H266" s="222">
        <v>45627</v>
      </c>
      <c r="I266" s="61">
        <v>7810.2420000000002</v>
      </c>
    </row>
    <row r="267" spans="7:9">
      <c r="G267" s="60">
        <f t="shared" si="7"/>
        <v>2025</v>
      </c>
      <c r="H267" s="222">
        <v>45658</v>
      </c>
      <c r="I267" s="61">
        <v>7892.6847727272743</v>
      </c>
    </row>
    <row r="268" spans="7:9">
      <c r="G268" s="60">
        <f t="shared" si="7"/>
        <v>2025</v>
      </c>
      <c r="H268" s="222">
        <v>45689</v>
      </c>
      <c r="I268" s="61">
        <v>7897.4904999999999</v>
      </c>
    </row>
    <row r="269" spans="7:9">
      <c r="G269" s="60">
        <f t="shared" si="7"/>
        <v>2025</v>
      </c>
      <c r="H269" s="222">
        <v>45717</v>
      </c>
      <c r="I269" s="61">
        <v>7962.8940000000002</v>
      </c>
    </row>
    <row r="270" spans="7:9">
      <c r="G270" s="60">
        <f t="shared" si="7"/>
        <v>2025</v>
      </c>
      <c r="H270" s="222">
        <v>45748</v>
      </c>
      <c r="I270" s="61">
        <v>8006.0007500000002</v>
      </c>
    </row>
    <row r="271" spans="7:9">
      <c r="G271" s="60">
        <f t="shared" si="7"/>
        <v>2025</v>
      </c>
      <c r="H271" s="222">
        <v>45778</v>
      </c>
      <c r="I271" s="61">
        <v>7986.7823684210525</v>
      </c>
    </row>
    <row r="272" spans="7:9">
      <c r="G272" s="60">
        <f t="shared" si="7"/>
        <v>2025</v>
      </c>
      <c r="H272" s="222">
        <v>45809</v>
      </c>
      <c r="I272" s="61">
        <v>7955.8235000000004</v>
      </c>
    </row>
    <row r="273" spans="7:9">
      <c r="G273" s="60">
        <f t="shared" si="7"/>
        <v>2025</v>
      </c>
      <c r="H273" s="222">
        <v>45839</v>
      </c>
      <c r="I273" s="61">
        <v>7550.9523913043467</v>
      </c>
    </row>
    <row r="274" spans="7:9">
      <c r="G274" s="60">
        <f t="shared" si="7"/>
        <v>2025</v>
      </c>
      <c r="H274" s="222">
        <v>45870</v>
      </c>
      <c r="I274" s="61">
        <v>7313.6017500000016</v>
      </c>
    </row>
    <row r="275" spans="7:9">
      <c r="G275" s="60">
        <f t="shared" si="7"/>
        <v>2025</v>
      </c>
      <c r="H275" s="222">
        <v>45901</v>
      </c>
      <c r="I275" s="61">
        <v>7158.7307499999988</v>
      </c>
    </row>
    <row r="276" spans="7:9">
      <c r="G276" s="60">
        <f t="shared" si="7"/>
        <v>2025</v>
      </c>
      <c r="H276" s="222">
        <v>45931</v>
      </c>
      <c r="I276" s="61">
        <v>7056.7143478260878</v>
      </c>
    </row>
    <row r="277" spans="7:9">
      <c r="G277" s="60">
        <f t="shared" si="7"/>
        <v>2025</v>
      </c>
      <c r="H277" s="222">
        <v>45962</v>
      </c>
      <c r="I277" s="61">
        <v>7038.6822500000007</v>
      </c>
    </row>
    <row r="278" spans="7:9">
      <c r="G278" s="60">
        <f t="shared" si="7"/>
        <v>2025</v>
      </c>
      <c r="H278" s="222">
        <v>45992</v>
      </c>
      <c r="I278" s="61">
        <v>6725.0036842105264</v>
      </c>
    </row>
    <row r="279" spans="7:9">
      <c r="G279" s="60">
        <f t="shared" si="7"/>
        <v>2026</v>
      </c>
      <c r="H279" s="222">
        <v>46023</v>
      </c>
      <c r="I279" s="61">
        <v>6687.2633333333324</v>
      </c>
    </row>
    <row r="280" spans="7:9">
      <c r="G280" s="60">
        <f t="shared" si="7"/>
        <v>2026</v>
      </c>
      <c r="H280" s="222">
        <v>46054</v>
      </c>
      <c r="I280" s="61">
        <v>6525.67</v>
      </c>
    </row>
    <row r="281" spans="7:9">
      <c r="G281" s="60">
        <f t="shared" si="7"/>
        <v>2026</v>
      </c>
      <c r="H281" s="222">
        <v>46082</v>
      </c>
      <c r="I281" s="61"/>
    </row>
    <row r="282" spans="7:9">
      <c r="G282" s="60">
        <f t="shared" si="7"/>
        <v>2026</v>
      </c>
      <c r="H282" s="222">
        <v>46113</v>
      </c>
      <c r="I282" s="61"/>
    </row>
    <row r="283" spans="7:9">
      <c r="G283" s="60">
        <f t="shared" si="7"/>
        <v>2026</v>
      </c>
      <c r="H283" s="222">
        <v>46143</v>
      </c>
      <c r="I283" s="61"/>
    </row>
    <row r="284" spans="7:9">
      <c r="G284" s="60">
        <f t="shared" si="7"/>
        <v>2026</v>
      </c>
      <c r="H284" s="222">
        <v>46174</v>
      </c>
      <c r="I284" s="61"/>
    </row>
    <row r="285" spans="7:9">
      <c r="G285" s="60">
        <f t="shared" si="7"/>
        <v>2026</v>
      </c>
      <c r="H285" s="222">
        <v>46204</v>
      </c>
      <c r="I285" s="61"/>
    </row>
    <row r="286" spans="7:9">
      <c r="G286" s="60">
        <f t="shared" si="7"/>
        <v>2026</v>
      </c>
      <c r="H286" s="222">
        <v>46235</v>
      </c>
      <c r="I286" s="61"/>
    </row>
    <row r="287" spans="7:9">
      <c r="G287" s="60">
        <f t="shared" si="7"/>
        <v>2026</v>
      </c>
      <c r="H287" s="222">
        <v>46266</v>
      </c>
      <c r="I287" s="61"/>
    </row>
    <row r="288" spans="7:9">
      <c r="G288" s="60">
        <f t="shared" si="7"/>
        <v>2026</v>
      </c>
      <c r="H288" s="222">
        <v>46296</v>
      </c>
      <c r="I288" s="61"/>
    </row>
    <row r="289" spans="7:9">
      <c r="G289" s="60">
        <f t="shared" si="7"/>
        <v>2026</v>
      </c>
      <c r="H289" s="222">
        <v>46327</v>
      </c>
      <c r="I289" s="61"/>
    </row>
    <row r="290" spans="7:9">
      <c r="G290" s="60">
        <f t="shared" si="7"/>
        <v>2026</v>
      </c>
      <c r="H290" s="222">
        <v>46357</v>
      </c>
      <c r="I290" s="61"/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08B3-4831-4D16-889C-4299E580D45B}">
  <dimension ref="B2:AA68"/>
  <sheetViews>
    <sheetView showGridLines="0" zoomScale="85" zoomScaleNormal="85" workbookViewId="0">
      <selection activeCell="L8" sqref="L8"/>
    </sheetView>
  </sheetViews>
  <sheetFormatPr baseColWidth="10" defaultColWidth="11.54296875" defaultRowHeight="14"/>
  <cols>
    <col min="1" max="1" width="1.81640625" style="74" customWidth="1"/>
    <col min="2" max="2" width="26.1796875" style="74" customWidth="1"/>
    <col min="3" max="3" width="11.54296875" style="74"/>
    <col min="4" max="4" width="12.26953125" style="74" customWidth="1"/>
    <col min="5" max="5" width="12.7265625" style="74" customWidth="1"/>
    <col min="6" max="6" width="23" style="74" customWidth="1"/>
    <col min="7" max="7" width="11.54296875" style="74" customWidth="1"/>
    <col min="8" max="8" width="13.26953125" style="74" customWidth="1"/>
    <col min="9" max="9" width="12.54296875" style="74" customWidth="1"/>
    <col min="10" max="10" width="3.453125" style="74" customWidth="1"/>
    <col min="11" max="11" width="2.7265625" style="74" customWidth="1"/>
    <col min="12" max="12" width="11.54296875" style="74"/>
    <col min="13" max="13" width="1.7265625" style="74" customWidth="1"/>
    <col min="14" max="14" width="23.1796875" style="74" bestFit="1" customWidth="1"/>
    <col min="15" max="18" width="11.54296875" style="74"/>
    <col min="19" max="21" width="1.7265625" style="74" customWidth="1"/>
    <col min="22" max="22" width="26.453125" style="74" customWidth="1"/>
    <col min="23" max="26" width="11.54296875" style="74"/>
    <col min="27" max="27" width="1.7265625" style="74" customWidth="1"/>
    <col min="28" max="258" width="11.54296875" style="74"/>
    <col min="259" max="259" width="20.7265625" style="74" customWidth="1"/>
    <col min="260" max="260" width="11.54296875" style="74"/>
    <col min="261" max="262" width="12.26953125" style="74" customWidth="1"/>
    <col min="263" max="263" width="21.7265625" style="74" customWidth="1"/>
    <col min="264" max="514" width="11.54296875" style="74"/>
    <col min="515" max="515" width="20.7265625" style="74" customWidth="1"/>
    <col min="516" max="516" width="11.54296875" style="74"/>
    <col min="517" max="518" width="12.26953125" style="74" customWidth="1"/>
    <col min="519" max="519" width="21.7265625" style="74" customWidth="1"/>
    <col min="520" max="770" width="11.54296875" style="74"/>
    <col min="771" max="771" width="20.7265625" style="74" customWidth="1"/>
    <col min="772" max="772" width="11.54296875" style="74"/>
    <col min="773" max="774" width="12.26953125" style="74" customWidth="1"/>
    <col min="775" max="775" width="21.7265625" style="74" customWidth="1"/>
    <col min="776" max="1026" width="11.54296875" style="74"/>
    <col min="1027" max="1027" width="20.7265625" style="74" customWidth="1"/>
    <col min="1028" max="1028" width="11.54296875" style="74"/>
    <col min="1029" max="1030" width="12.26953125" style="74" customWidth="1"/>
    <col min="1031" max="1031" width="21.7265625" style="74" customWidth="1"/>
    <col min="1032" max="1282" width="11.54296875" style="74"/>
    <col min="1283" max="1283" width="20.7265625" style="74" customWidth="1"/>
    <col min="1284" max="1284" width="11.54296875" style="74"/>
    <col min="1285" max="1286" width="12.26953125" style="74" customWidth="1"/>
    <col min="1287" max="1287" width="21.7265625" style="74" customWidth="1"/>
    <col min="1288" max="1538" width="11.54296875" style="74"/>
    <col min="1539" max="1539" width="20.7265625" style="74" customWidth="1"/>
    <col min="1540" max="1540" width="11.54296875" style="74"/>
    <col min="1541" max="1542" width="12.26953125" style="74" customWidth="1"/>
    <col min="1543" max="1543" width="21.7265625" style="74" customWidth="1"/>
    <col min="1544" max="1794" width="11.54296875" style="74"/>
    <col min="1795" max="1795" width="20.7265625" style="74" customWidth="1"/>
    <col min="1796" max="1796" width="11.54296875" style="74"/>
    <col min="1797" max="1798" width="12.26953125" style="74" customWidth="1"/>
    <col min="1799" max="1799" width="21.7265625" style="74" customWidth="1"/>
    <col min="1800" max="2050" width="11.54296875" style="74"/>
    <col min="2051" max="2051" width="20.7265625" style="74" customWidth="1"/>
    <col min="2052" max="2052" width="11.54296875" style="74"/>
    <col min="2053" max="2054" width="12.26953125" style="74" customWidth="1"/>
    <col min="2055" max="2055" width="21.7265625" style="74" customWidth="1"/>
    <col min="2056" max="2306" width="11.54296875" style="74"/>
    <col min="2307" max="2307" width="20.7265625" style="74" customWidth="1"/>
    <col min="2308" max="2308" width="11.54296875" style="74"/>
    <col min="2309" max="2310" width="12.26953125" style="74" customWidth="1"/>
    <col min="2311" max="2311" width="21.7265625" style="74" customWidth="1"/>
    <col min="2312" max="2562" width="11.54296875" style="74"/>
    <col min="2563" max="2563" width="20.7265625" style="74" customWidth="1"/>
    <col min="2564" max="2564" width="11.54296875" style="74"/>
    <col min="2565" max="2566" width="12.26953125" style="74" customWidth="1"/>
    <col min="2567" max="2567" width="21.7265625" style="74" customWidth="1"/>
    <col min="2568" max="2818" width="11.54296875" style="74"/>
    <col min="2819" max="2819" width="20.7265625" style="74" customWidth="1"/>
    <col min="2820" max="2820" width="11.54296875" style="74"/>
    <col min="2821" max="2822" width="12.26953125" style="74" customWidth="1"/>
    <col min="2823" max="2823" width="21.7265625" style="74" customWidth="1"/>
    <col min="2824" max="3074" width="11.54296875" style="74"/>
    <col min="3075" max="3075" width="20.7265625" style="74" customWidth="1"/>
    <col min="3076" max="3076" width="11.54296875" style="74"/>
    <col min="3077" max="3078" width="12.26953125" style="74" customWidth="1"/>
    <col min="3079" max="3079" width="21.7265625" style="74" customWidth="1"/>
    <col min="3080" max="3330" width="11.54296875" style="74"/>
    <col min="3331" max="3331" width="20.7265625" style="74" customWidth="1"/>
    <col min="3332" max="3332" width="11.54296875" style="74"/>
    <col min="3333" max="3334" width="12.26953125" style="74" customWidth="1"/>
    <col min="3335" max="3335" width="21.7265625" style="74" customWidth="1"/>
    <col min="3336" max="3586" width="11.54296875" style="74"/>
    <col min="3587" max="3587" width="20.7265625" style="74" customWidth="1"/>
    <col min="3588" max="3588" width="11.54296875" style="74"/>
    <col min="3589" max="3590" width="12.26953125" style="74" customWidth="1"/>
    <col min="3591" max="3591" width="21.7265625" style="74" customWidth="1"/>
    <col min="3592" max="3842" width="11.54296875" style="74"/>
    <col min="3843" max="3843" width="20.7265625" style="74" customWidth="1"/>
    <col min="3844" max="3844" width="11.54296875" style="74"/>
    <col min="3845" max="3846" width="12.26953125" style="74" customWidth="1"/>
    <col min="3847" max="3847" width="21.7265625" style="74" customWidth="1"/>
    <col min="3848" max="4098" width="11.54296875" style="74"/>
    <col min="4099" max="4099" width="20.7265625" style="74" customWidth="1"/>
    <col min="4100" max="4100" width="11.54296875" style="74"/>
    <col min="4101" max="4102" width="12.26953125" style="74" customWidth="1"/>
    <col min="4103" max="4103" width="21.7265625" style="74" customWidth="1"/>
    <col min="4104" max="4354" width="11.54296875" style="74"/>
    <col min="4355" max="4355" width="20.7265625" style="74" customWidth="1"/>
    <col min="4356" max="4356" width="11.54296875" style="74"/>
    <col min="4357" max="4358" width="12.26953125" style="74" customWidth="1"/>
    <col min="4359" max="4359" width="21.7265625" style="74" customWidth="1"/>
    <col min="4360" max="4610" width="11.54296875" style="74"/>
    <col min="4611" max="4611" width="20.7265625" style="74" customWidth="1"/>
    <col min="4612" max="4612" width="11.54296875" style="74"/>
    <col min="4613" max="4614" width="12.26953125" style="74" customWidth="1"/>
    <col min="4615" max="4615" width="21.7265625" style="74" customWidth="1"/>
    <col min="4616" max="4866" width="11.54296875" style="74"/>
    <col min="4867" max="4867" width="20.7265625" style="74" customWidth="1"/>
    <col min="4868" max="4868" width="11.54296875" style="74"/>
    <col min="4869" max="4870" width="12.26953125" style="74" customWidth="1"/>
    <col min="4871" max="4871" width="21.7265625" style="74" customWidth="1"/>
    <col min="4872" max="5122" width="11.54296875" style="74"/>
    <col min="5123" max="5123" width="20.7265625" style="74" customWidth="1"/>
    <col min="5124" max="5124" width="11.54296875" style="74"/>
    <col min="5125" max="5126" width="12.26953125" style="74" customWidth="1"/>
    <col min="5127" max="5127" width="21.7265625" style="74" customWidth="1"/>
    <col min="5128" max="5378" width="11.54296875" style="74"/>
    <col min="5379" max="5379" width="20.7265625" style="74" customWidth="1"/>
    <col min="5380" max="5380" width="11.54296875" style="74"/>
    <col min="5381" max="5382" width="12.26953125" style="74" customWidth="1"/>
    <col min="5383" max="5383" width="21.7265625" style="74" customWidth="1"/>
    <col min="5384" max="5634" width="11.54296875" style="74"/>
    <col min="5635" max="5635" width="20.7265625" style="74" customWidth="1"/>
    <col min="5636" max="5636" width="11.54296875" style="74"/>
    <col min="5637" max="5638" width="12.26953125" style="74" customWidth="1"/>
    <col min="5639" max="5639" width="21.7265625" style="74" customWidth="1"/>
    <col min="5640" max="5890" width="11.54296875" style="74"/>
    <col min="5891" max="5891" width="20.7265625" style="74" customWidth="1"/>
    <col min="5892" max="5892" width="11.54296875" style="74"/>
    <col min="5893" max="5894" width="12.26953125" style="74" customWidth="1"/>
    <col min="5895" max="5895" width="21.7265625" style="74" customWidth="1"/>
    <col min="5896" max="6146" width="11.54296875" style="74"/>
    <col min="6147" max="6147" width="20.7265625" style="74" customWidth="1"/>
    <col min="6148" max="6148" width="11.54296875" style="74"/>
    <col min="6149" max="6150" width="12.26953125" style="74" customWidth="1"/>
    <col min="6151" max="6151" width="21.7265625" style="74" customWidth="1"/>
    <col min="6152" max="6402" width="11.54296875" style="74"/>
    <col min="6403" max="6403" width="20.7265625" style="74" customWidth="1"/>
    <col min="6404" max="6404" width="11.54296875" style="74"/>
    <col min="6405" max="6406" width="12.26953125" style="74" customWidth="1"/>
    <col min="6407" max="6407" width="21.7265625" style="74" customWidth="1"/>
    <col min="6408" max="6658" width="11.54296875" style="74"/>
    <col min="6659" max="6659" width="20.7265625" style="74" customWidth="1"/>
    <col min="6660" max="6660" width="11.54296875" style="74"/>
    <col min="6661" max="6662" width="12.26953125" style="74" customWidth="1"/>
    <col min="6663" max="6663" width="21.7265625" style="74" customWidth="1"/>
    <col min="6664" max="6914" width="11.54296875" style="74"/>
    <col min="6915" max="6915" width="20.7265625" style="74" customWidth="1"/>
    <col min="6916" max="6916" width="11.54296875" style="74"/>
    <col min="6917" max="6918" width="12.26953125" style="74" customWidth="1"/>
    <col min="6919" max="6919" width="21.7265625" style="74" customWidth="1"/>
    <col min="6920" max="7170" width="11.54296875" style="74"/>
    <col min="7171" max="7171" width="20.7265625" style="74" customWidth="1"/>
    <col min="7172" max="7172" width="11.54296875" style="74"/>
    <col min="7173" max="7174" width="12.26953125" style="74" customWidth="1"/>
    <col min="7175" max="7175" width="21.7265625" style="74" customWidth="1"/>
    <col min="7176" max="7426" width="11.54296875" style="74"/>
    <col min="7427" max="7427" width="20.7265625" style="74" customWidth="1"/>
    <col min="7428" max="7428" width="11.54296875" style="74"/>
    <col min="7429" max="7430" width="12.26953125" style="74" customWidth="1"/>
    <col min="7431" max="7431" width="21.7265625" style="74" customWidth="1"/>
    <col min="7432" max="7682" width="11.54296875" style="74"/>
    <col min="7683" max="7683" width="20.7265625" style="74" customWidth="1"/>
    <col min="7684" max="7684" width="11.54296875" style="74"/>
    <col min="7685" max="7686" width="12.26953125" style="74" customWidth="1"/>
    <col min="7687" max="7687" width="21.7265625" style="74" customWidth="1"/>
    <col min="7688" max="7938" width="11.54296875" style="74"/>
    <col min="7939" max="7939" width="20.7265625" style="74" customWidth="1"/>
    <col min="7940" max="7940" width="11.54296875" style="74"/>
    <col min="7941" max="7942" width="12.26953125" style="74" customWidth="1"/>
    <col min="7943" max="7943" width="21.7265625" style="74" customWidth="1"/>
    <col min="7944" max="8194" width="11.54296875" style="74"/>
    <col min="8195" max="8195" width="20.7265625" style="74" customWidth="1"/>
    <col min="8196" max="8196" width="11.54296875" style="74"/>
    <col min="8197" max="8198" width="12.26953125" style="74" customWidth="1"/>
    <col min="8199" max="8199" width="21.7265625" style="74" customWidth="1"/>
    <col min="8200" max="8450" width="11.54296875" style="74"/>
    <col min="8451" max="8451" width="20.7265625" style="74" customWidth="1"/>
    <col min="8452" max="8452" width="11.54296875" style="74"/>
    <col min="8453" max="8454" width="12.26953125" style="74" customWidth="1"/>
    <col min="8455" max="8455" width="21.7265625" style="74" customWidth="1"/>
    <col min="8456" max="8706" width="11.54296875" style="74"/>
    <col min="8707" max="8707" width="20.7265625" style="74" customWidth="1"/>
    <col min="8708" max="8708" width="11.54296875" style="74"/>
    <col min="8709" max="8710" width="12.26953125" style="74" customWidth="1"/>
    <col min="8711" max="8711" width="21.7265625" style="74" customWidth="1"/>
    <col min="8712" max="8962" width="11.54296875" style="74"/>
    <col min="8963" max="8963" width="20.7265625" style="74" customWidth="1"/>
    <col min="8964" max="8964" width="11.54296875" style="74"/>
    <col min="8965" max="8966" width="12.26953125" style="74" customWidth="1"/>
    <col min="8967" max="8967" width="21.7265625" style="74" customWidth="1"/>
    <col min="8968" max="9218" width="11.54296875" style="74"/>
    <col min="9219" max="9219" width="20.7265625" style="74" customWidth="1"/>
    <col min="9220" max="9220" width="11.54296875" style="74"/>
    <col min="9221" max="9222" width="12.26953125" style="74" customWidth="1"/>
    <col min="9223" max="9223" width="21.7265625" style="74" customWidth="1"/>
    <col min="9224" max="9474" width="11.54296875" style="74"/>
    <col min="9475" max="9475" width="20.7265625" style="74" customWidth="1"/>
    <col min="9476" max="9476" width="11.54296875" style="74"/>
    <col min="9477" max="9478" width="12.26953125" style="74" customWidth="1"/>
    <col min="9479" max="9479" width="21.7265625" style="74" customWidth="1"/>
    <col min="9480" max="9730" width="11.54296875" style="74"/>
    <col min="9731" max="9731" width="20.7265625" style="74" customWidth="1"/>
    <col min="9732" max="9732" width="11.54296875" style="74"/>
    <col min="9733" max="9734" width="12.26953125" style="74" customWidth="1"/>
    <col min="9735" max="9735" width="21.7265625" style="74" customWidth="1"/>
    <col min="9736" max="9986" width="11.54296875" style="74"/>
    <col min="9987" max="9987" width="20.7265625" style="74" customWidth="1"/>
    <col min="9988" max="9988" width="11.54296875" style="74"/>
    <col min="9989" max="9990" width="12.26953125" style="74" customWidth="1"/>
    <col min="9991" max="9991" width="21.7265625" style="74" customWidth="1"/>
    <col min="9992" max="10242" width="11.54296875" style="74"/>
    <col min="10243" max="10243" width="20.7265625" style="74" customWidth="1"/>
    <col min="10244" max="10244" width="11.54296875" style="74"/>
    <col min="10245" max="10246" width="12.26953125" style="74" customWidth="1"/>
    <col min="10247" max="10247" width="21.7265625" style="74" customWidth="1"/>
    <col min="10248" max="10498" width="11.54296875" style="74"/>
    <col min="10499" max="10499" width="20.7265625" style="74" customWidth="1"/>
    <col min="10500" max="10500" width="11.54296875" style="74"/>
    <col min="10501" max="10502" width="12.26953125" style="74" customWidth="1"/>
    <col min="10503" max="10503" width="21.7265625" style="74" customWidth="1"/>
    <col min="10504" max="10754" width="11.54296875" style="74"/>
    <col min="10755" max="10755" width="20.7265625" style="74" customWidth="1"/>
    <col min="10756" max="10756" width="11.54296875" style="74"/>
    <col min="10757" max="10758" width="12.26953125" style="74" customWidth="1"/>
    <col min="10759" max="10759" width="21.7265625" style="74" customWidth="1"/>
    <col min="10760" max="11010" width="11.54296875" style="74"/>
    <col min="11011" max="11011" width="20.7265625" style="74" customWidth="1"/>
    <col min="11012" max="11012" width="11.54296875" style="74"/>
    <col min="11013" max="11014" width="12.26953125" style="74" customWidth="1"/>
    <col min="11015" max="11015" width="21.7265625" style="74" customWidth="1"/>
    <col min="11016" max="11266" width="11.54296875" style="74"/>
    <col min="11267" max="11267" width="20.7265625" style="74" customWidth="1"/>
    <col min="11268" max="11268" width="11.54296875" style="74"/>
    <col min="11269" max="11270" width="12.26953125" style="74" customWidth="1"/>
    <col min="11271" max="11271" width="21.7265625" style="74" customWidth="1"/>
    <col min="11272" max="11522" width="11.54296875" style="74"/>
    <col min="11523" max="11523" width="20.7265625" style="74" customWidth="1"/>
    <col min="11524" max="11524" width="11.54296875" style="74"/>
    <col min="11525" max="11526" width="12.26953125" style="74" customWidth="1"/>
    <col min="11527" max="11527" width="21.7265625" style="74" customWidth="1"/>
    <col min="11528" max="11778" width="11.54296875" style="74"/>
    <col min="11779" max="11779" width="20.7265625" style="74" customWidth="1"/>
    <col min="11780" max="11780" width="11.54296875" style="74"/>
    <col min="11781" max="11782" width="12.26953125" style="74" customWidth="1"/>
    <col min="11783" max="11783" width="21.7265625" style="74" customWidth="1"/>
    <col min="11784" max="12034" width="11.54296875" style="74"/>
    <col min="12035" max="12035" width="20.7265625" style="74" customWidth="1"/>
    <col min="12036" max="12036" width="11.54296875" style="74"/>
    <col min="12037" max="12038" width="12.26953125" style="74" customWidth="1"/>
    <col min="12039" max="12039" width="21.7265625" style="74" customWidth="1"/>
    <col min="12040" max="12290" width="11.54296875" style="74"/>
    <col min="12291" max="12291" width="20.7265625" style="74" customWidth="1"/>
    <col min="12292" max="12292" width="11.54296875" style="74"/>
    <col min="12293" max="12294" width="12.26953125" style="74" customWidth="1"/>
    <col min="12295" max="12295" width="21.7265625" style="74" customWidth="1"/>
    <col min="12296" max="12546" width="11.54296875" style="74"/>
    <col min="12547" max="12547" width="20.7265625" style="74" customWidth="1"/>
    <col min="12548" max="12548" width="11.54296875" style="74"/>
    <col min="12549" max="12550" width="12.26953125" style="74" customWidth="1"/>
    <col min="12551" max="12551" width="21.7265625" style="74" customWidth="1"/>
    <col min="12552" max="12802" width="11.54296875" style="74"/>
    <col min="12803" max="12803" width="20.7265625" style="74" customWidth="1"/>
    <col min="12804" max="12804" width="11.54296875" style="74"/>
    <col min="12805" max="12806" width="12.26953125" style="74" customWidth="1"/>
    <col min="12807" max="12807" width="21.7265625" style="74" customWidth="1"/>
    <col min="12808" max="13058" width="11.54296875" style="74"/>
    <col min="13059" max="13059" width="20.7265625" style="74" customWidth="1"/>
    <col min="13060" max="13060" width="11.54296875" style="74"/>
    <col min="13061" max="13062" width="12.26953125" style="74" customWidth="1"/>
    <col min="13063" max="13063" width="21.7265625" style="74" customWidth="1"/>
    <col min="13064" max="13314" width="11.54296875" style="74"/>
    <col min="13315" max="13315" width="20.7265625" style="74" customWidth="1"/>
    <col min="13316" max="13316" width="11.54296875" style="74"/>
    <col min="13317" max="13318" width="12.26953125" style="74" customWidth="1"/>
    <col min="13319" max="13319" width="21.7265625" style="74" customWidth="1"/>
    <col min="13320" max="13570" width="11.54296875" style="74"/>
    <col min="13571" max="13571" width="20.7265625" style="74" customWidth="1"/>
    <col min="13572" max="13572" width="11.54296875" style="74"/>
    <col min="13573" max="13574" width="12.26953125" style="74" customWidth="1"/>
    <col min="13575" max="13575" width="21.7265625" style="74" customWidth="1"/>
    <col min="13576" max="13826" width="11.54296875" style="74"/>
    <col min="13827" max="13827" width="20.7265625" style="74" customWidth="1"/>
    <col min="13828" max="13828" width="11.54296875" style="74"/>
    <col min="13829" max="13830" width="12.26953125" style="74" customWidth="1"/>
    <col min="13831" max="13831" width="21.7265625" style="74" customWidth="1"/>
    <col min="13832" max="14082" width="11.54296875" style="74"/>
    <col min="14083" max="14083" width="20.7265625" style="74" customWidth="1"/>
    <col min="14084" max="14084" width="11.54296875" style="74"/>
    <col min="14085" max="14086" width="12.26953125" style="74" customWidth="1"/>
    <col min="14087" max="14087" width="21.7265625" style="74" customWidth="1"/>
    <col min="14088" max="14338" width="11.54296875" style="74"/>
    <col min="14339" max="14339" width="20.7265625" style="74" customWidth="1"/>
    <col min="14340" max="14340" width="11.54296875" style="74"/>
    <col min="14341" max="14342" width="12.26953125" style="74" customWidth="1"/>
    <col min="14343" max="14343" width="21.7265625" style="74" customWidth="1"/>
    <col min="14344" max="14594" width="11.54296875" style="74"/>
    <col min="14595" max="14595" width="20.7265625" style="74" customWidth="1"/>
    <col min="14596" max="14596" width="11.54296875" style="74"/>
    <col min="14597" max="14598" width="12.26953125" style="74" customWidth="1"/>
    <col min="14599" max="14599" width="21.7265625" style="74" customWidth="1"/>
    <col min="14600" max="14850" width="11.54296875" style="74"/>
    <col min="14851" max="14851" width="20.7265625" style="74" customWidth="1"/>
    <col min="14852" max="14852" width="11.54296875" style="74"/>
    <col min="14853" max="14854" width="12.26953125" style="74" customWidth="1"/>
    <col min="14855" max="14855" width="21.7265625" style="74" customWidth="1"/>
    <col min="14856" max="15106" width="11.54296875" style="74"/>
    <col min="15107" max="15107" width="20.7265625" style="74" customWidth="1"/>
    <col min="15108" max="15108" width="11.54296875" style="74"/>
    <col min="15109" max="15110" width="12.26953125" style="74" customWidth="1"/>
    <col min="15111" max="15111" width="21.7265625" style="74" customWidth="1"/>
    <col min="15112" max="15362" width="11.54296875" style="74"/>
    <col min="15363" max="15363" width="20.7265625" style="74" customWidth="1"/>
    <col min="15364" max="15364" width="11.54296875" style="74"/>
    <col min="15365" max="15366" width="12.26953125" style="74" customWidth="1"/>
    <col min="15367" max="15367" width="21.7265625" style="74" customWidth="1"/>
    <col min="15368" max="15618" width="11.54296875" style="74"/>
    <col min="15619" max="15619" width="20.7265625" style="74" customWidth="1"/>
    <col min="15620" max="15620" width="11.54296875" style="74"/>
    <col min="15621" max="15622" width="12.26953125" style="74" customWidth="1"/>
    <col min="15623" max="15623" width="21.7265625" style="74" customWidth="1"/>
    <col min="15624" max="15874" width="11.54296875" style="74"/>
    <col min="15875" max="15875" width="20.7265625" style="74" customWidth="1"/>
    <col min="15876" max="15876" width="11.54296875" style="74"/>
    <col min="15877" max="15878" width="12.26953125" style="74" customWidth="1"/>
    <col min="15879" max="15879" width="21.7265625" style="74" customWidth="1"/>
    <col min="15880" max="16130" width="11.54296875" style="74"/>
    <col min="16131" max="16131" width="20.7265625" style="74" customWidth="1"/>
    <col min="16132" max="16132" width="11.54296875" style="74"/>
    <col min="16133" max="16134" width="12.26953125" style="74" customWidth="1"/>
    <col min="16135" max="16135" width="21.7265625" style="74" customWidth="1"/>
    <col min="16136" max="16384" width="11.54296875" style="74"/>
  </cols>
  <sheetData>
    <row r="2" spans="2:27" ht="21" customHeight="1">
      <c r="L2" s="188" t="s">
        <v>187</v>
      </c>
    </row>
    <row r="3" spans="2:27" ht="21" customHeight="1" thickBot="1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188</v>
      </c>
    </row>
    <row r="4" spans="2:27" ht="14.25" customHeight="1"/>
    <row r="5" spans="2:27">
      <c r="B5" s="237" t="s">
        <v>191</v>
      </c>
      <c r="C5" s="237"/>
      <c r="D5" s="237"/>
      <c r="E5" s="237"/>
      <c r="F5" s="237"/>
      <c r="G5" s="237"/>
      <c r="H5" s="237"/>
      <c r="I5" s="237"/>
      <c r="J5" s="237"/>
    </row>
    <row r="6" spans="2:27">
      <c r="B6" s="238" t="str">
        <f>Aux!$V$5</f>
        <v>Febrero 2026</v>
      </c>
      <c r="C6" s="238"/>
      <c r="D6" s="238"/>
      <c r="E6" s="238"/>
      <c r="F6" s="238"/>
      <c r="G6" s="238"/>
      <c r="H6" s="238"/>
      <c r="I6" s="238"/>
      <c r="J6" s="238"/>
    </row>
    <row r="7" spans="2:27" ht="23.25" customHeight="1">
      <c r="M7" s="74" t="s">
        <v>207</v>
      </c>
    </row>
    <row r="8" spans="2:27" ht="22.5" customHeight="1">
      <c r="L8" s="175"/>
      <c r="M8" s="250" t="s">
        <v>210</v>
      </c>
      <c r="N8" s="250"/>
      <c r="O8" s="250"/>
      <c r="P8" s="250"/>
      <c r="Q8" s="251"/>
      <c r="R8" s="251"/>
      <c r="S8" s="251"/>
      <c r="U8" s="247" t="s">
        <v>212</v>
      </c>
      <c r="V8" s="247"/>
      <c r="W8" s="247"/>
      <c r="X8" s="247"/>
      <c r="Y8" s="248"/>
      <c r="Z8" s="248"/>
      <c r="AA8" s="248"/>
    </row>
    <row r="9" spans="2:27" ht="25.5" customHeight="1" thickBot="1">
      <c r="F9" s="75"/>
      <c r="G9" s="224" t="str">
        <f>Aux!W6</f>
        <v>ene-feb 2025</v>
      </c>
      <c r="H9" s="224" t="str">
        <f>Aux!W5</f>
        <v>ene-feb 2026</v>
      </c>
      <c r="I9" s="76" t="s">
        <v>138</v>
      </c>
      <c r="N9" s="75"/>
      <c r="O9" s="226" t="str">
        <f>Aux!W6</f>
        <v>ene-feb 2025</v>
      </c>
      <c r="P9" s="226" t="str">
        <f>Aux!W5</f>
        <v>ene-feb 2026</v>
      </c>
      <c r="Q9" s="76" t="s">
        <v>208</v>
      </c>
      <c r="R9" s="76" t="s">
        <v>209</v>
      </c>
      <c r="W9" s="226" t="str">
        <f>Aux!W6</f>
        <v>ene-feb 2025</v>
      </c>
      <c r="X9" s="226" t="str">
        <f>Aux!W5</f>
        <v>ene-feb 2026</v>
      </c>
      <c r="Y9" s="76" t="s">
        <v>208</v>
      </c>
      <c r="Z9" s="76" t="s">
        <v>209</v>
      </c>
    </row>
    <row r="10" spans="2:27" ht="14.5" thickBot="1">
      <c r="F10" s="77" t="s">
        <v>98</v>
      </c>
      <c r="G10" s="78">
        <f>'CA Informe'!U13</f>
        <v>7976.7356944030007</v>
      </c>
      <c r="H10" s="78">
        <f>'CA Informe'!T13</f>
        <v>7568.2778212020003</v>
      </c>
      <c r="I10" s="79">
        <f>+H10/G10-1</f>
        <v>-5.1206143571686957E-2</v>
      </c>
      <c r="N10" s="77" t="s">
        <v>98</v>
      </c>
      <c r="O10" s="78">
        <f>'CA Informe'!U13</f>
        <v>7976.7356944030007</v>
      </c>
      <c r="P10" s="78">
        <f>'CA Informe'!T13</f>
        <v>7568.2778212020003</v>
      </c>
      <c r="Q10" s="79">
        <f t="shared" ref="Q10:Q13" si="0">P10/O10-1</f>
        <v>-5.1206143571686957E-2</v>
      </c>
      <c r="R10" s="79"/>
      <c r="V10" s="91" t="s">
        <v>140</v>
      </c>
      <c r="W10" s="91"/>
      <c r="X10" s="91"/>
      <c r="Y10" s="92"/>
      <c r="Z10" s="92"/>
    </row>
    <row r="11" spans="2:27">
      <c r="F11" s="80" t="str">
        <f>+'1'!A13</f>
        <v xml:space="preserve">Ingresos Tributarios </v>
      </c>
      <c r="G11" s="81">
        <f>'CA Informe'!U14</f>
        <v>5883.7408910120012</v>
      </c>
      <c r="H11" s="81">
        <f>'CA Informe'!T14</f>
        <v>5812.5919032410011</v>
      </c>
      <c r="I11" s="82">
        <f>+H11/G11-1</f>
        <v>-1.209247468386776E-2</v>
      </c>
      <c r="N11" s="80" t="s">
        <v>84</v>
      </c>
      <c r="O11" s="81">
        <f>'CA Informe'!U14</f>
        <v>5883.7408910120012</v>
      </c>
      <c r="P11" s="81">
        <f>'CA Informe'!T14</f>
        <v>5812.5919032410011</v>
      </c>
      <c r="Q11" s="82">
        <f t="shared" si="0"/>
        <v>-1.209247468386776E-2</v>
      </c>
      <c r="R11" s="82"/>
      <c r="V11" s="94" t="s">
        <v>25</v>
      </c>
      <c r="W11" s="95"/>
      <c r="X11" s="95"/>
      <c r="Y11" s="96"/>
      <c r="Z11" s="96"/>
    </row>
    <row r="12" spans="2:27">
      <c r="F12" s="80" t="str">
        <f>+'1'!A15</f>
        <v>Contribuciones sociales</v>
      </c>
      <c r="G12" s="81">
        <f>'CA Informe'!U17</f>
        <v>550.61952995699994</v>
      </c>
      <c r="H12" s="81">
        <f>'CA Informe'!T17</f>
        <v>578.37900628800003</v>
      </c>
      <c r="I12" s="82">
        <f>+H12/G12-1</f>
        <v>5.0414986793454242E-2</v>
      </c>
      <c r="N12" s="80" t="s">
        <v>87</v>
      </c>
      <c r="O12" s="81">
        <f>'CA Informe'!U17</f>
        <v>550.61952995699994</v>
      </c>
      <c r="P12" s="81">
        <f>'CA Informe'!T17</f>
        <v>578.37900628800003</v>
      </c>
      <c r="Q12" s="82">
        <f t="shared" si="0"/>
        <v>5.0414986793454242E-2</v>
      </c>
      <c r="R12" s="82"/>
      <c r="V12" s="84" t="s">
        <v>26</v>
      </c>
      <c r="W12" s="223"/>
      <c r="X12" s="84"/>
      <c r="Y12" s="85"/>
      <c r="Z12" s="85"/>
    </row>
    <row r="13" spans="2:27">
      <c r="F13" s="83" t="str">
        <f>+'1'!A17</f>
        <v>Donaciones</v>
      </c>
      <c r="G13" s="84">
        <f>'CA Informe'!U18</f>
        <v>249.80122824</v>
      </c>
      <c r="H13" s="84">
        <f>'CA Informe'!T18</f>
        <v>242.19039053400002</v>
      </c>
      <c r="I13" s="85">
        <f>+H13/G13-1</f>
        <v>-3.0467575198180219E-2</v>
      </c>
      <c r="N13" s="83" t="s">
        <v>11</v>
      </c>
      <c r="O13" s="84">
        <f>'CA Informe'!U18</f>
        <v>249.80122824</v>
      </c>
      <c r="P13" s="84">
        <f>'CA Informe'!T18</f>
        <v>242.19039053400002</v>
      </c>
      <c r="Q13" s="85">
        <f t="shared" si="0"/>
        <v>-3.0467575198180219E-2</v>
      </c>
      <c r="R13" s="85"/>
      <c r="V13" s="84" t="s">
        <v>31</v>
      </c>
      <c r="W13" s="84"/>
      <c r="X13" s="84"/>
      <c r="Y13" s="85"/>
      <c r="Z13" s="85"/>
    </row>
    <row r="14" spans="2:27">
      <c r="F14" s="86" t="str">
        <f>+'1'!A27</f>
        <v>Otros ingresos</v>
      </c>
      <c r="G14" s="87">
        <f>'CA Informe'!U19</f>
        <v>1292.5740451939998</v>
      </c>
      <c r="H14" s="215">
        <f>'CA Informe'!T19</f>
        <v>935.11652113900004</v>
      </c>
      <c r="I14" s="88">
        <f>+H14/G14-1</f>
        <v>-0.27654703835659156</v>
      </c>
      <c r="N14" s="80" t="s">
        <v>17</v>
      </c>
      <c r="O14" s="84">
        <f>'CA Informe'!U19</f>
        <v>1292.5740451939998</v>
      </c>
      <c r="P14" s="84">
        <f>'CA Informe'!T19</f>
        <v>935.11652113900004</v>
      </c>
      <c r="Q14" s="85">
        <f>P14/O14-1</f>
        <v>-0.27654703835659156</v>
      </c>
      <c r="R14" s="85"/>
      <c r="V14" s="84" t="s">
        <v>11</v>
      </c>
      <c r="W14" s="84"/>
      <c r="X14" s="84"/>
      <c r="Y14" s="85"/>
      <c r="Z14" s="85"/>
    </row>
    <row r="15" spans="2:27">
      <c r="F15" s="89" t="s">
        <v>139</v>
      </c>
      <c r="N15" s="227" t="s">
        <v>92</v>
      </c>
      <c r="O15" s="84">
        <f>'CA Informe'!U35</f>
        <v>897.79346555200004</v>
      </c>
      <c r="P15" s="84">
        <f>'CA Informe'!T35</f>
        <v>533.16001527499998</v>
      </c>
      <c r="Q15" s="85">
        <f>P15/O15-1</f>
        <v>-0.40614402339496702</v>
      </c>
      <c r="R15" s="85"/>
      <c r="V15" s="84" t="s">
        <v>35</v>
      </c>
      <c r="W15" s="84"/>
      <c r="X15" s="84"/>
      <c r="Y15" s="85"/>
      <c r="Z15" s="85"/>
    </row>
    <row r="16" spans="2:27">
      <c r="N16" s="228" t="s">
        <v>213</v>
      </c>
      <c r="O16" s="87">
        <f>O14-O15</f>
        <v>394.78057964199979</v>
      </c>
      <c r="P16" s="87">
        <f>P14-P15</f>
        <v>401.95650586400006</v>
      </c>
      <c r="Q16" s="88">
        <f>P16/O16-1</f>
        <v>1.8176999052252452E-2</v>
      </c>
      <c r="R16" s="88"/>
      <c r="V16" s="97" t="s">
        <v>39</v>
      </c>
      <c r="W16" s="97"/>
      <c r="X16" s="97"/>
      <c r="Y16" s="98"/>
      <c r="Z16" s="98"/>
    </row>
    <row r="17" spans="2:26">
      <c r="N17" s="89" t="s">
        <v>139</v>
      </c>
      <c r="V17" s="99" t="s">
        <v>141</v>
      </c>
    </row>
    <row r="19" spans="2:26">
      <c r="N19" s="249" t="s">
        <v>211</v>
      </c>
      <c r="O19" s="249"/>
      <c r="P19" s="249"/>
      <c r="Q19" s="249"/>
      <c r="R19" s="249"/>
      <c r="V19" s="249" t="s">
        <v>211</v>
      </c>
      <c r="W19" s="249"/>
      <c r="X19" s="249"/>
      <c r="Y19" s="249"/>
      <c r="Z19" s="249"/>
    </row>
    <row r="30" spans="2:26" ht="14.5" thickBot="1">
      <c r="C30" s="224" t="str">
        <f>Aux!W6</f>
        <v>ene-feb 2025</v>
      </c>
      <c r="D30" s="224" t="str">
        <f>Aux!W5</f>
        <v>ene-feb 2026</v>
      </c>
      <c r="E30" s="90" t="s">
        <v>138</v>
      </c>
    </row>
    <row r="31" spans="2:26" ht="14.5" thickBot="1">
      <c r="B31" s="91" t="s">
        <v>140</v>
      </c>
      <c r="C31" s="91">
        <f>'CA Informe'!U20</f>
        <v>8058.686425191001</v>
      </c>
      <c r="D31" s="91">
        <f>'CA Informe'!T20</f>
        <v>8955.1439406440004</v>
      </c>
      <c r="E31" s="92">
        <f>+D31/C31-1</f>
        <v>0.11124114628045634</v>
      </c>
    </row>
    <row r="32" spans="2:26">
      <c r="B32" s="94" t="str">
        <f>+'1'!A37</f>
        <v>Remuneración a los empleados</v>
      </c>
      <c r="C32" s="95">
        <f>'CA Informe'!U21</f>
        <v>3502.7172934540004</v>
      </c>
      <c r="D32" s="95">
        <f>'CA Informe'!T21</f>
        <v>3817.1137416030001</v>
      </c>
      <c r="E32" s="96">
        <f t="shared" ref="E32:E37" si="1">+D32/C32-1</f>
        <v>8.9757871335078843E-2</v>
      </c>
      <c r="F32" s="93"/>
    </row>
    <row r="33" spans="2:15">
      <c r="B33" s="84" t="str">
        <f>+'1'!A38</f>
        <v>Uso de bienes y servicios</v>
      </c>
      <c r="C33" s="223">
        <f>'CA Informe'!U22</f>
        <v>1015.179560712</v>
      </c>
      <c r="D33" s="84">
        <f>'CA Informe'!T22</f>
        <v>816.8573796500001</v>
      </c>
      <c r="E33" s="85">
        <f t="shared" si="1"/>
        <v>-0.19535675139371989</v>
      </c>
      <c r="F33" s="85"/>
      <c r="N33" s="169"/>
    </row>
    <row r="34" spans="2:15">
      <c r="B34" s="84" t="str">
        <f>+'1'!A43</f>
        <v>Intereses</v>
      </c>
      <c r="C34" s="84">
        <f>'CA Informe'!U23</f>
        <v>923.02490249100003</v>
      </c>
      <c r="D34" s="84">
        <f>'CA Informe'!T23</f>
        <v>1251.662839757</v>
      </c>
      <c r="E34" s="85">
        <f t="shared" si="1"/>
        <v>0.35604449715180286</v>
      </c>
      <c r="F34" s="85"/>
      <c r="L34" s="169"/>
      <c r="M34" s="169"/>
    </row>
    <row r="35" spans="2:15" ht="19.149999999999999" customHeight="1">
      <c r="B35" s="84" t="str">
        <f>+'1'!A47</f>
        <v>Donaciones</v>
      </c>
      <c r="C35" s="84">
        <f>'CA Informe'!U24</f>
        <v>759.67566695499988</v>
      </c>
      <c r="D35" s="84">
        <f>'CA Informe'!T24</f>
        <v>973.17231305299993</v>
      </c>
      <c r="E35" s="85">
        <f t="shared" si="1"/>
        <v>0.28103657308619145</v>
      </c>
      <c r="F35" s="85"/>
      <c r="M35" s="169"/>
    </row>
    <row r="36" spans="2:15">
      <c r="B36" s="84" t="str">
        <f>+'1'!A57</f>
        <v>Prestaciones sociales</v>
      </c>
      <c r="C36" s="84">
        <f>'CA Informe'!U25</f>
        <v>1680.8681596179999</v>
      </c>
      <c r="D36" s="84">
        <f>'CA Informe'!T25</f>
        <v>1915.691039409</v>
      </c>
      <c r="E36" s="85">
        <f t="shared" si="1"/>
        <v>0.1397033303577877</v>
      </c>
      <c r="F36" s="85"/>
      <c r="L36" s="169"/>
      <c r="M36" s="169"/>
    </row>
    <row r="37" spans="2:15">
      <c r="B37" s="97" t="str">
        <f>+'1'!A61</f>
        <v>Otros gastos</v>
      </c>
      <c r="C37" s="97">
        <f>'CA Informe'!U26</f>
        <v>177.22084196100002</v>
      </c>
      <c r="D37" s="97">
        <f>'CA Informe'!T26</f>
        <v>180.64662717199997</v>
      </c>
      <c r="E37" s="98">
        <f t="shared" si="1"/>
        <v>1.9330600019120903E-2</v>
      </c>
      <c r="F37" s="85"/>
      <c r="M37" s="169"/>
    </row>
    <row r="38" spans="2:15">
      <c r="B38" s="99" t="s">
        <v>141</v>
      </c>
      <c r="F38" s="85"/>
      <c r="M38" s="169"/>
      <c r="N38" s="169"/>
    </row>
    <row r="39" spans="2:15" ht="15">
      <c r="F39" s="75"/>
      <c r="H39" s="179"/>
      <c r="I39" s="180"/>
      <c r="M39" s="169"/>
      <c r="N39" s="169"/>
    </row>
    <row r="40" spans="2:15" ht="15">
      <c r="H40" s="179"/>
      <c r="I40" s="180"/>
      <c r="M40" s="169"/>
      <c r="N40" s="169"/>
    </row>
    <row r="41" spans="2:15" ht="15">
      <c r="H41" s="179"/>
      <c r="I41" s="180"/>
      <c r="L41" s="169"/>
      <c r="M41" s="169"/>
      <c r="N41" s="169"/>
    </row>
    <row r="42" spans="2:15" ht="15">
      <c r="H42" s="181"/>
      <c r="I42" s="180"/>
      <c r="M42" s="169"/>
      <c r="N42" s="169"/>
      <c r="O42" s="169"/>
    </row>
    <row r="43" spans="2:15" ht="15">
      <c r="H43" s="179"/>
      <c r="I43" s="180"/>
      <c r="M43" s="169"/>
      <c r="N43" s="169"/>
    </row>
    <row r="44" spans="2:15">
      <c r="M44" s="169"/>
      <c r="N44" s="169"/>
    </row>
    <row r="45" spans="2:15">
      <c r="M45" s="169"/>
      <c r="N45" s="169"/>
    </row>
    <row r="46" spans="2:15">
      <c r="N46" s="169"/>
    </row>
    <row r="47" spans="2:15">
      <c r="M47" s="169"/>
      <c r="N47" s="169"/>
    </row>
    <row r="48" spans="2:15">
      <c r="M48" s="169"/>
    </row>
    <row r="50" spans="8:14">
      <c r="N50" s="169"/>
    </row>
    <row r="53" spans="8:14">
      <c r="J53" s="178"/>
    </row>
    <row r="54" spans="8:14">
      <c r="J54" s="178"/>
    </row>
    <row r="55" spans="8:14">
      <c r="J55" s="178"/>
    </row>
    <row r="56" spans="8:14">
      <c r="J56" s="178"/>
    </row>
    <row r="57" spans="8:14">
      <c r="J57" s="178"/>
    </row>
    <row r="58" spans="8:14" ht="15">
      <c r="H58" s="177"/>
      <c r="I58" s="177"/>
      <c r="J58" s="178"/>
    </row>
    <row r="59" spans="8:14" ht="15">
      <c r="H59" s="177"/>
      <c r="I59" s="177"/>
      <c r="J59" s="178"/>
    </row>
    <row r="60" spans="8:14" ht="15">
      <c r="H60" s="177"/>
      <c r="I60" s="177"/>
      <c r="J60" s="178"/>
    </row>
    <row r="61" spans="8:14" ht="15">
      <c r="H61" s="177"/>
      <c r="I61" s="177"/>
      <c r="J61" s="178"/>
    </row>
    <row r="62" spans="8:14" ht="15">
      <c r="H62" s="177"/>
      <c r="I62" s="177"/>
      <c r="J62" s="178"/>
    </row>
    <row r="63" spans="8:14" ht="15">
      <c r="H63" s="177"/>
      <c r="I63" s="177"/>
      <c r="J63" s="178"/>
    </row>
    <row r="64" spans="8:14" ht="15">
      <c r="H64" s="177"/>
      <c r="I64" s="177"/>
      <c r="J64" s="178"/>
    </row>
    <row r="65" spans="8:10" ht="15">
      <c r="H65" s="177"/>
      <c r="I65" s="177"/>
      <c r="J65" s="178"/>
    </row>
    <row r="66" spans="8:10" ht="15">
      <c r="H66" s="177"/>
      <c r="I66" s="177"/>
      <c r="J66" s="178"/>
    </row>
    <row r="67" spans="8:10" ht="14.5">
      <c r="H67" s="176"/>
      <c r="I67" s="176"/>
    </row>
    <row r="68" spans="8:10" ht="14.5">
      <c r="H68" s="176"/>
      <c r="I68" s="176"/>
    </row>
  </sheetData>
  <mergeCells count="8">
    <mergeCell ref="U8:X8"/>
    <mergeCell ref="Y8:AA8"/>
    <mergeCell ref="N19:R19"/>
    <mergeCell ref="V19:Z19"/>
    <mergeCell ref="B5:J5"/>
    <mergeCell ref="B6:J6"/>
    <mergeCell ref="M8:P8"/>
    <mergeCell ref="Q8:S8"/>
  </mergeCells>
  <hyperlinks>
    <hyperlink ref="L2" location="'1'!A1" display="SITUFIN Acumulado" xr:uid="{4F1A17E6-BF53-4FA8-9678-97FCB8BCD7CF}"/>
    <hyperlink ref="L3" location="'2'!A1" display="SITUFIN por mes" xr:uid="{9D0E8676-F6E4-4E0C-A671-D93F2DA44CEC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01E-B52F-4B75-AE2E-A93785ACBA58}">
  <dimension ref="B2:O69"/>
  <sheetViews>
    <sheetView showGridLines="0" topLeftCell="A7" zoomScale="85" zoomScaleNormal="85" workbookViewId="0">
      <selection activeCell="L14" sqref="L14"/>
    </sheetView>
  </sheetViews>
  <sheetFormatPr baseColWidth="10" defaultColWidth="11.54296875" defaultRowHeight="14"/>
  <cols>
    <col min="1" max="1" width="1.81640625" style="74" customWidth="1"/>
    <col min="2" max="2" width="26.1796875" style="74" customWidth="1"/>
    <col min="3" max="5" width="13.453125" style="74" customWidth="1"/>
    <col min="6" max="6" width="23" style="74" customWidth="1"/>
    <col min="7" max="7" width="11.54296875" style="74" customWidth="1"/>
    <col min="8" max="8" width="13.26953125" style="74" customWidth="1"/>
    <col min="9" max="9" width="12.54296875" style="74" customWidth="1"/>
    <col min="10" max="10" width="3.453125" style="74" customWidth="1"/>
    <col min="11" max="11" width="2.7265625" style="74" customWidth="1"/>
    <col min="12" max="257" width="11.54296875" style="74"/>
    <col min="258" max="258" width="20.7265625" style="74" customWidth="1"/>
    <col min="259" max="259" width="11.54296875" style="74"/>
    <col min="260" max="261" width="12.26953125" style="74" customWidth="1"/>
    <col min="262" max="262" width="21.7265625" style="74" customWidth="1"/>
    <col min="263" max="513" width="11.54296875" style="74"/>
    <col min="514" max="514" width="20.7265625" style="74" customWidth="1"/>
    <col min="515" max="515" width="11.54296875" style="74"/>
    <col min="516" max="517" width="12.26953125" style="74" customWidth="1"/>
    <col min="518" max="518" width="21.7265625" style="74" customWidth="1"/>
    <col min="519" max="769" width="11.54296875" style="74"/>
    <col min="770" max="770" width="20.7265625" style="74" customWidth="1"/>
    <col min="771" max="771" width="11.54296875" style="74"/>
    <col min="772" max="773" width="12.26953125" style="74" customWidth="1"/>
    <col min="774" max="774" width="21.7265625" style="74" customWidth="1"/>
    <col min="775" max="1025" width="11.54296875" style="74"/>
    <col min="1026" max="1026" width="20.7265625" style="74" customWidth="1"/>
    <col min="1027" max="1027" width="11.54296875" style="74"/>
    <col min="1028" max="1029" width="12.26953125" style="74" customWidth="1"/>
    <col min="1030" max="1030" width="21.7265625" style="74" customWidth="1"/>
    <col min="1031" max="1281" width="11.54296875" style="74"/>
    <col min="1282" max="1282" width="20.7265625" style="74" customWidth="1"/>
    <col min="1283" max="1283" width="11.54296875" style="74"/>
    <col min="1284" max="1285" width="12.26953125" style="74" customWidth="1"/>
    <col min="1286" max="1286" width="21.7265625" style="74" customWidth="1"/>
    <col min="1287" max="1537" width="11.54296875" style="74"/>
    <col min="1538" max="1538" width="20.7265625" style="74" customWidth="1"/>
    <col min="1539" max="1539" width="11.54296875" style="74"/>
    <col min="1540" max="1541" width="12.26953125" style="74" customWidth="1"/>
    <col min="1542" max="1542" width="21.7265625" style="74" customWidth="1"/>
    <col min="1543" max="1793" width="11.54296875" style="74"/>
    <col min="1794" max="1794" width="20.7265625" style="74" customWidth="1"/>
    <col min="1795" max="1795" width="11.54296875" style="74"/>
    <col min="1796" max="1797" width="12.26953125" style="74" customWidth="1"/>
    <col min="1798" max="1798" width="21.7265625" style="74" customWidth="1"/>
    <col min="1799" max="2049" width="11.54296875" style="74"/>
    <col min="2050" max="2050" width="20.7265625" style="74" customWidth="1"/>
    <col min="2051" max="2051" width="11.54296875" style="74"/>
    <col min="2052" max="2053" width="12.26953125" style="74" customWidth="1"/>
    <col min="2054" max="2054" width="21.7265625" style="74" customWidth="1"/>
    <col min="2055" max="2305" width="11.54296875" style="74"/>
    <col min="2306" max="2306" width="20.7265625" style="74" customWidth="1"/>
    <col min="2307" max="2307" width="11.54296875" style="74"/>
    <col min="2308" max="2309" width="12.26953125" style="74" customWidth="1"/>
    <col min="2310" max="2310" width="21.7265625" style="74" customWidth="1"/>
    <col min="2311" max="2561" width="11.54296875" style="74"/>
    <col min="2562" max="2562" width="20.7265625" style="74" customWidth="1"/>
    <col min="2563" max="2563" width="11.54296875" style="74"/>
    <col min="2564" max="2565" width="12.26953125" style="74" customWidth="1"/>
    <col min="2566" max="2566" width="21.7265625" style="74" customWidth="1"/>
    <col min="2567" max="2817" width="11.54296875" style="74"/>
    <col min="2818" max="2818" width="20.7265625" style="74" customWidth="1"/>
    <col min="2819" max="2819" width="11.54296875" style="74"/>
    <col min="2820" max="2821" width="12.26953125" style="74" customWidth="1"/>
    <col min="2822" max="2822" width="21.7265625" style="74" customWidth="1"/>
    <col min="2823" max="3073" width="11.54296875" style="74"/>
    <col min="3074" max="3074" width="20.7265625" style="74" customWidth="1"/>
    <col min="3075" max="3075" width="11.54296875" style="74"/>
    <col min="3076" max="3077" width="12.26953125" style="74" customWidth="1"/>
    <col min="3078" max="3078" width="21.7265625" style="74" customWidth="1"/>
    <col min="3079" max="3329" width="11.54296875" style="74"/>
    <col min="3330" max="3330" width="20.7265625" style="74" customWidth="1"/>
    <col min="3331" max="3331" width="11.54296875" style="74"/>
    <col min="3332" max="3333" width="12.26953125" style="74" customWidth="1"/>
    <col min="3334" max="3334" width="21.7265625" style="74" customWidth="1"/>
    <col min="3335" max="3585" width="11.54296875" style="74"/>
    <col min="3586" max="3586" width="20.7265625" style="74" customWidth="1"/>
    <col min="3587" max="3587" width="11.54296875" style="74"/>
    <col min="3588" max="3589" width="12.26953125" style="74" customWidth="1"/>
    <col min="3590" max="3590" width="21.7265625" style="74" customWidth="1"/>
    <col min="3591" max="3841" width="11.54296875" style="74"/>
    <col min="3842" max="3842" width="20.7265625" style="74" customWidth="1"/>
    <col min="3843" max="3843" width="11.54296875" style="74"/>
    <col min="3844" max="3845" width="12.26953125" style="74" customWidth="1"/>
    <col min="3846" max="3846" width="21.7265625" style="74" customWidth="1"/>
    <col min="3847" max="4097" width="11.54296875" style="74"/>
    <col min="4098" max="4098" width="20.7265625" style="74" customWidth="1"/>
    <col min="4099" max="4099" width="11.54296875" style="74"/>
    <col min="4100" max="4101" width="12.26953125" style="74" customWidth="1"/>
    <col min="4102" max="4102" width="21.7265625" style="74" customWidth="1"/>
    <col min="4103" max="4353" width="11.54296875" style="74"/>
    <col min="4354" max="4354" width="20.7265625" style="74" customWidth="1"/>
    <col min="4355" max="4355" width="11.54296875" style="74"/>
    <col min="4356" max="4357" width="12.26953125" style="74" customWidth="1"/>
    <col min="4358" max="4358" width="21.7265625" style="74" customWidth="1"/>
    <col min="4359" max="4609" width="11.54296875" style="74"/>
    <col min="4610" max="4610" width="20.7265625" style="74" customWidth="1"/>
    <col min="4611" max="4611" width="11.54296875" style="74"/>
    <col min="4612" max="4613" width="12.26953125" style="74" customWidth="1"/>
    <col min="4614" max="4614" width="21.7265625" style="74" customWidth="1"/>
    <col min="4615" max="4865" width="11.54296875" style="74"/>
    <col min="4866" max="4866" width="20.7265625" style="74" customWidth="1"/>
    <col min="4867" max="4867" width="11.54296875" style="74"/>
    <col min="4868" max="4869" width="12.26953125" style="74" customWidth="1"/>
    <col min="4870" max="4870" width="21.7265625" style="74" customWidth="1"/>
    <col min="4871" max="5121" width="11.54296875" style="74"/>
    <col min="5122" max="5122" width="20.7265625" style="74" customWidth="1"/>
    <col min="5123" max="5123" width="11.54296875" style="74"/>
    <col min="5124" max="5125" width="12.26953125" style="74" customWidth="1"/>
    <col min="5126" max="5126" width="21.7265625" style="74" customWidth="1"/>
    <col min="5127" max="5377" width="11.54296875" style="74"/>
    <col min="5378" max="5378" width="20.7265625" style="74" customWidth="1"/>
    <col min="5379" max="5379" width="11.54296875" style="74"/>
    <col min="5380" max="5381" width="12.26953125" style="74" customWidth="1"/>
    <col min="5382" max="5382" width="21.7265625" style="74" customWidth="1"/>
    <col min="5383" max="5633" width="11.54296875" style="74"/>
    <col min="5634" max="5634" width="20.7265625" style="74" customWidth="1"/>
    <col min="5635" max="5635" width="11.54296875" style="74"/>
    <col min="5636" max="5637" width="12.26953125" style="74" customWidth="1"/>
    <col min="5638" max="5638" width="21.7265625" style="74" customWidth="1"/>
    <col min="5639" max="5889" width="11.54296875" style="74"/>
    <col min="5890" max="5890" width="20.7265625" style="74" customWidth="1"/>
    <col min="5891" max="5891" width="11.54296875" style="74"/>
    <col min="5892" max="5893" width="12.26953125" style="74" customWidth="1"/>
    <col min="5894" max="5894" width="21.7265625" style="74" customWidth="1"/>
    <col min="5895" max="6145" width="11.54296875" style="74"/>
    <col min="6146" max="6146" width="20.7265625" style="74" customWidth="1"/>
    <col min="6147" max="6147" width="11.54296875" style="74"/>
    <col min="6148" max="6149" width="12.26953125" style="74" customWidth="1"/>
    <col min="6150" max="6150" width="21.7265625" style="74" customWidth="1"/>
    <col min="6151" max="6401" width="11.54296875" style="74"/>
    <col min="6402" max="6402" width="20.7265625" style="74" customWidth="1"/>
    <col min="6403" max="6403" width="11.54296875" style="74"/>
    <col min="6404" max="6405" width="12.26953125" style="74" customWidth="1"/>
    <col min="6406" max="6406" width="21.7265625" style="74" customWidth="1"/>
    <col min="6407" max="6657" width="11.54296875" style="74"/>
    <col min="6658" max="6658" width="20.7265625" style="74" customWidth="1"/>
    <col min="6659" max="6659" width="11.54296875" style="74"/>
    <col min="6660" max="6661" width="12.26953125" style="74" customWidth="1"/>
    <col min="6662" max="6662" width="21.7265625" style="74" customWidth="1"/>
    <col min="6663" max="6913" width="11.54296875" style="74"/>
    <col min="6914" max="6914" width="20.7265625" style="74" customWidth="1"/>
    <col min="6915" max="6915" width="11.54296875" style="74"/>
    <col min="6916" max="6917" width="12.26953125" style="74" customWidth="1"/>
    <col min="6918" max="6918" width="21.7265625" style="74" customWidth="1"/>
    <col min="6919" max="7169" width="11.54296875" style="74"/>
    <col min="7170" max="7170" width="20.7265625" style="74" customWidth="1"/>
    <col min="7171" max="7171" width="11.54296875" style="74"/>
    <col min="7172" max="7173" width="12.26953125" style="74" customWidth="1"/>
    <col min="7174" max="7174" width="21.7265625" style="74" customWidth="1"/>
    <col min="7175" max="7425" width="11.54296875" style="74"/>
    <col min="7426" max="7426" width="20.7265625" style="74" customWidth="1"/>
    <col min="7427" max="7427" width="11.54296875" style="74"/>
    <col min="7428" max="7429" width="12.26953125" style="74" customWidth="1"/>
    <col min="7430" max="7430" width="21.7265625" style="74" customWidth="1"/>
    <col min="7431" max="7681" width="11.54296875" style="74"/>
    <col min="7682" max="7682" width="20.7265625" style="74" customWidth="1"/>
    <col min="7683" max="7683" width="11.54296875" style="74"/>
    <col min="7684" max="7685" width="12.26953125" style="74" customWidth="1"/>
    <col min="7686" max="7686" width="21.7265625" style="74" customWidth="1"/>
    <col min="7687" max="7937" width="11.54296875" style="74"/>
    <col min="7938" max="7938" width="20.7265625" style="74" customWidth="1"/>
    <col min="7939" max="7939" width="11.54296875" style="74"/>
    <col min="7940" max="7941" width="12.26953125" style="74" customWidth="1"/>
    <col min="7942" max="7942" width="21.7265625" style="74" customWidth="1"/>
    <col min="7943" max="8193" width="11.54296875" style="74"/>
    <col min="8194" max="8194" width="20.7265625" style="74" customWidth="1"/>
    <col min="8195" max="8195" width="11.54296875" style="74"/>
    <col min="8196" max="8197" width="12.26953125" style="74" customWidth="1"/>
    <col min="8198" max="8198" width="21.7265625" style="74" customWidth="1"/>
    <col min="8199" max="8449" width="11.54296875" style="74"/>
    <col min="8450" max="8450" width="20.7265625" style="74" customWidth="1"/>
    <col min="8451" max="8451" width="11.54296875" style="74"/>
    <col min="8452" max="8453" width="12.26953125" style="74" customWidth="1"/>
    <col min="8454" max="8454" width="21.7265625" style="74" customWidth="1"/>
    <col min="8455" max="8705" width="11.54296875" style="74"/>
    <col min="8706" max="8706" width="20.7265625" style="74" customWidth="1"/>
    <col min="8707" max="8707" width="11.54296875" style="74"/>
    <col min="8708" max="8709" width="12.26953125" style="74" customWidth="1"/>
    <col min="8710" max="8710" width="21.7265625" style="74" customWidth="1"/>
    <col min="8711" max="8961" width="11.54296875" style="74"/>
    <col min="8962" max="8962" width="20.7265625" style="74" customWidth="1"/>
    <col min="8963" max="8963" width="11.54296875" style="74"/>
    <col min="8964" max="8965" width="12.26953125" style="74" customWidth="1"/>
    <col min="8966" max="8966" width="21.7265625" style="74" customWidth="1"/>
    <col min="8967" max="9217" width="11.54296875" style="74"/>
    <col min="9218" max="9218" width="20.7265625" style="74" customWidth="1"/>
    <col min="9219" max="9219" width="11.54296875" style="74"/>
    <col min="9220" max="9221" width="12.26953125" style="74" customWidth="1"/>
    <col min="9222" max="9222" width="21.7265625" style="74" customWidth="1"/>
    <col min="9223" max="9473" width="11.54296875" style="74"/>
    <col min="9474" max="9474" width="20.7265625" style="74" customWidth="1"/>
    <col min="9475" max="9475" width="11.54296875" style="74"/>
    <col min="9476" max="9477" width="12.26953125" style="74" customWidth="1"/>
    <col min="9478" max="9478" width="21.7265625" style="74" customWidth="1"/>
    <col min="9479" max="9729" width="11.54296875" style="74"/>
    <col min="9730" max="9730" width="20.7265625" style="74" customWidth="1"/>
    <col min="9731" max="9731" width="11.54296875" style="74"/>
    <col min="9732" max="9733" width="12.26953125" style="74" customWidth="1"/>
    <col min="9734" max="9734" width="21.7265625" style="74" customWidth="1"/>
    <col min="9735" max="9985" width="11.54296875" style="74"/>
    <col min="9986" max="9986" width="20.7265625" style="74" customWidth="1"/>
    <col min="9987" max="9987" width="11.54296875" style="74"/>
    <col min="9988" max="9989" width="12.26953125" style="74" customWidth="1"/>
    <col min="9990" max="9990" width="21.7265625" style="74" customWidth="1"/>
    <col min="9991" max="10241" width="11.54296875" style="74"/>
    <col min="10242" max="10242" width="20.7265625" style="74" customWidth="1"/>
    <col min="10243" max="10243" width="11.54296875" style="74"/>
    <col min="10244" max="10245" width="12.26953125" style="74" customWidth="1"/>
    <col min="10246" max="10246" width="21.7265625" style="74" customWidth="1"/>
    <col min="10247" max="10497" width="11.54296875" style="74"/>
    <col min="10498" max="10498" width="20.7265625" style="74" customWidth="1"/>
    <col min="10499" max="10499" width="11.54296875" style="74"/>
    <col min="10500" max="10501" width="12.26953125" style="74" customWidth="1"/>
    <col min="10502" max="10502" width="21.7265625" style="74" customWidth="1"/>
    <col min="10503" max="10753" width="11.54296875" style="74"/>
    <col min="10754" max="10754" width="20.7265625" style="74" customWidth="1"/>
    <col min="10755" max="10755" width="11.54296875" style="74"/>
    <col min="10756" max="10757" width="12.26953125" style="74" customWidth="1"/>
    <col min="10758" max="10758" width="21.7265625" style="74" customWidth="1"/>
    <col min="10759" max="11009" width="11.54296875" style="74"/>
    <col min="11010" max="11010" width="20.7265625" style="74" customWidth="1"/>
    <col min="11011" max="11011" width="11.54296875" style="74"/>
    <col min="11012" max="11013" width="12.26953125" style="74" customWidth="1"/>
    <col min="11014" max="11014" width="21.7265625" style="74" customWidth="1"/>
    <col min="11015" max="11265" width="11.54296875" style="74"/>
    <col min="11266" max="11266" width="20.7265625" style="74" customWidth="1"/>
    <col min="11267" max="11267" width="11.54296875" style="74"/>
    <col min="11268" max="11269" width="12.26953125" style="74" customWidth="1"/>
    <col min="11270" max="11270" width="21.7265625" style="74" customWidth="1"/>
    <col min="11271" max="11521" width="11.54296875" style="74"/>
    <col min="11522" max="11522" width="20.7265625" style="74" customWidth="1"/>
    <col min="11523" max="11523" width="11.54296875" style="74"/>
    <col min="11524" max="11525" width="12.26953125" style="74" customWidth="1"/>
    <col min="11526" max="11526" width="21.7265625" style="74" customWidth="1"/>
    <col min="11527" max="11777" width="11.54296875" style="74"/>
    <col min="11778" max="11778" width="20.7265625" style="74" customWidth="1"/>
    <col min="11779" max="11779" width="11.54296875" style="74"/>
    <col min="11780" max="11781" width="12.26953125" style="74" customWidth="1"/>
    <col min="11782" max="11782" width="21.7265625" style="74" customWidth="1"/>
    <col min="11783" max="12033" width="11.54296875" style="74"/>
    <col min="12034" max="12034" width="20.7265625" style="74" customWidth="1"/>
    <col min="12035" max="12035" width="11.54296875" style="74"/>
    <col min="12036" max="12037" width="12.26953125" style="74" customWidth="1"/>
    <col min="12038" max="12038" width="21.7265625" style="74" customWidth="1"/>
    <col min="12039" max="12289" width="11.54296875" style="74"/>
    <col min="12290" max="12290" width="20.7265625" style="74" customWidth="1"/>
    <col min="12291" max="12291" width="11.54296875" style="74"/>
    <col min="12292" max="12293" width="12.26953125" style="74" customWidth="1"/>
    <col min="12294" max="12294" width="21.7265625" style="74" customWidth="1"/>
    <col min="12295" max="12545" width="11.54296875" style="74"/>
    <col min="12546" max="12546" width="20.7265625" style="74" customWidth="1"/>
    <col min="12547" max="12547" width="11.54296875" style="74"/>
    <col min="12548" max="12549" width="12.26953125" style="74" customWidth="1"/>
    <col min="12550" max="12550" width="21.7265625" style="74" customWidth="1"/>
    <col min="12551" max="12801" width="11.54296875" style="74"/>
    <col min="12802" max="12802" width="20.7265625" style="74" customWidth="1"/>
    <col min="12803" max="12803" width="11.54296875" style="74"/>
    <col min="12804" max="12805" width="12.26953125" style="74" customWidth="1"/>
    <col min="12806" max="12806" width="21.7265625" style="74" customWidth="1"/>
    <col min="12807" max="13057" width="11.54296875" style="74"/>
    <col min="13058" max="13058" width="20.7265625" style="74" customWidth="1"/>
    <col min="13059" max="13059" width="11.54296875" style="74"/>
    <col min="13060" max="13061" width="12.26953125" style="74" customWidth="1"/>
    <col min="13062" max="13062" width="21.7265625" style="74" customWidth="1"/>
    <col min="13063" max="13313" width="11.54296875" style="74"/>
    <col min="13314" max="13314" width="20.7265625" style="74" customWidth="1"/>
    <col min="13315" max="13315" width="11.54296875" style="74"/>
    <col min="13316" max="13317" width="12.26953125" style="74" customWidth="1"/>
    <col min="13318" max="13318" width="21.7265625" style="74" customWidth="1"/>
    <col min="13319" max="13569" width="11.54296875" style="74"/>
    <col min="13570" max="13570" width="20.7265625" style="74" customWidth="1"/>
    <col min="13571" max="13571" width="11.54296875" style="74"/>
    <col min="13572" max="13573" width="12.26953125" style="74" customWidth="1"/>
    <col min="13574" max="13574" width="21.7265625" style="74" customWidth="1"/>
    <col min="13575" max="13825" width="11.54296875" style="74"/>
    <col min="13826" max="13826" width="20.7265625" style="74" customWidth="1"/>
    <col min="13827" max="13827" width="11.54296875" style="74"/>
    <col min="13828" max="13829" width="12.26953125" style="74" customWidth="1"/>
    <col min="13830" max="13830" width="21.7265625" style="74" customWidth="1"/>
    <col min="13831" max="14081" width="11.54296875" style="74"/>
    <col min="14082" max="14082" width="20.7265625" style="74" customWidth="1"/>
    <col min="14083" max="14083" width="11.54296875" style="74"/>
    <col min="14084" max="14085" width="12.26953125" style="74" customWidth="1"/>
    <col min="14086" max="14086" width="21.7265625" style="74" customWidth="1"/>
    <col min="14087" max="14337" width="11.54296875" style="74"/>
    <col min="14338" max="14338" width="20.7265625" style="74" customWidth="1"/>
    <col min="14339" max="14339" width="11.54296875" style="74"/>
    <col min="14340" max="14341" width="12.26953125" style="74" customWidth="1"/>
    <col min="14342" max="14342" width="21.7265625" style="74" customWidth="1"/>
    <col min="14343" max="14593" width="11.54296875" style="74"/>
    <col min="14594" max="14594" width="20.7265625" style="74" customWidth="1"/>
    <col min="14595" max="14595" width="11.54296875" style="74"/>
    <col min="14596" max="14597" width="12.26953125" style="74" customWidth="1"/>
    <col min="14598" max="14598" width="21.7265625" style="74" customWidth="1"/>
    <col min="14599" max="14849" width="11.54296875" style="74"/>
    <col min="14850" max="14850" width="20.7265625" style="74" customWidth="1"/>
    <col min="14851" max="14851" width="11.54296875" style="74"/>
    <col min="14852" max="14853" width="12.26953125" style="74" customWidth="1"/>
    <col min="14854" max="14854" width="21.7265625" style="74" customWidth="1"/>
    <col min="14855" max="15105" width="11.54296875" style="74"/>
    <col min="15106" max="15106" width="20.7265625" style="74" customWidth="1"/>
    <col min="15107" max="15107" width="11.54296875" style="74"/>
    <col min="15108" max="15109" width="12.26953125" style="74" customWidth="1"/>
    <col min="15110" max="15110" width="21.7265625" style="74" customWidth="1"/>
    <col min="15111" max="15361" width="11.54296875" style="74"/>
    <col min="15362" max="15362" width="20.7265625" style="74" customWidth="1"/>
    <col min="15363" max="15363" width="11.54296875" style="74"/>
    <col min="15364" max="15365" width="12.26953125" style="74" customWidth="1"/>
    <col min="15366" max="15366" width="21.7265625" style="74" customWidth="1"/>
    <col min="15367" max="15617" width="11.54296875" style="74"/>
    <col min="15618" max="15618" width="20.7265625" style="74" customWidth="1"/>
    <col min="15619" max="15619" width="11.54296875" style="74"/>
    <col min="15620" max="15621" width="12.26953125" style="74" customWidth="1"/>
    <col min="15622" max="15622" width="21.7265625" style="74" customWidth="1"/>
    <col min="15623" max="15873" width="11.54296875" style="74"/>
    <col min="15874" max="15874" width="20.7265625" style="74" customWidth="1"/>
    <col min="15875" max="15875" width="11.54296875" style="74"/>
    <col min="15876" max="15877" width="12.26953125" style="74" customWidth="1"/>
    <col min="15878" max="15878" width="21.7265625" style="74" customWidth="1"/>
    <col min="15879" max="16129" width="11.54296875" style="74"/>
    <col min="16130" max="16130" width="20.7265625" style="74" customWidth="1"/>
    <col min="16131" max="16131" width="11.54296875" style="74"/>
    <col min="16132" max="16133" width="12.26953125" style="74" customWidth="1"/>
    <col min="16134" max="16134" width="21.7265625" style="74" customWidth="1"/>
    <col min="16135" max="16384" width="11.54296875" style="74"/>
  </cols>
  <sheetData>
    <row r="2" spans="2:13" ht="21" customHeight="1">
      <c r="L2" s="188" t="s">
        <v>187</v>
      </c>
    </row>
    <row r="3" spans="2:13" ht="21" customHeight="1" thickBot="1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188</v>
      </c>
    </row>
    <row r="4" spans="2:13" ht="14.25" customHeight="1"/>
    <row r="5" spans="2:13">
      <c r="B5" s="237" t="s">
        <v>191</v>
      </c>
      <c r="C5" s="237"/>
      <c r="D5" s="237"/>
      <c r="E5" s="237"/>
      <c r="F5" s="237"/>
      <c r="G5" s="237"/>
      <c r="H5" s="237"/>
      <c r="I5" s="237"/>
      <c r="J5" s="237"/>
    </row>
    <row r="6" spans="2:13">
      <c r="B6" s="238" t="str">
        <f>Aux!$V$5</f>
        <v>Febrero 2026</v>
      </c>
      <c r="C6" s="238"/>
      <c r="D6" s="238"/>
      <c r="E6" s="238"/>
      <c r="F6" s="238"/>
      <c r="G6" s="238"/>
      <c r="H6" s="238"/>
      <c r="I6" s="238"/>
      <c r="J6" s="238"/>
    </row>
    <row r="7" spans="2:13" ht="23.25" customHeight="1">
      <c r="M7" s="74" t="s">
        <v>207</v>
      </c>
    </row>
    <row r="8" spans="2:13">
      <c r="L8" s="175"/>
    </row>
    <row r="9" spans="2:13" ht="14.5" thickBot="1">
      <c r="D9" s="229" t="str">
        <f>Aux!W5</f>
        <v>ene-feb 2026</v>
      </c>
      <c r="E9" s="229" t="s">
        <v>215</v>
      </c>
      <c r="F9" s="75"/>
      <c r="G9" s="224" t="str">
        <f>Aux!W6</f>
        <v>ene-feb 2025</v>
      </c>
      <c r="H9" s="224" t="str">
        <f>Aux!W5</f>
        <v>ene-feb 2026</v>
      </c>
      <c r="I9" s="76" t="s">
        <v>138</v>
      </c>
    </row>
    <row r="10" spans="2:13" ht="15.75" customHeight="1" thickBot="1">
      <c r="B10" s="252"/>
      <c r="C10" s="256" t="s">
        <v>216</v>
      </c>
      <c r="D10" s="254">
        <f>'CA Informe'!T9</f>
        <v>-211.4716202843874</v>
      </c>
      <c r="E10" s="254">
        <f>'CA Informe'!T11</f>
        <v>-474.64178772591993</v>
      </c>
      <c r="F10" s="77" t="s">
        <v>98</v>
      </c>
      <c r="G10" s="78">
        <f>'CA Informe'!U13</f>
        <v>7976.7356944030007</v>
      </c>
      <c r="H10" s="78">
        <f>'CA Informe'!T13</f>
        <v>7568.2778212020003</v>
      </c>
      <c r="I10" s="79">
        <f>+H10/G10-1</f>
        <v>-5.1206143571686957E-2</v>
      </c>
    </row>
    <row r="11" spans="2:13">
      <c r="B11" s="252"/>
      <c r="C11" s="256"/>
      <c r="D11" s="254"/>
      <c r="E11" s="254"/>
      <c r="F11" s="80" t="str">
        <f>+'1'!A13</f>
        <v xml:space="preserve">Ingresos Tributarios </v>
      </c>
      <c r="G11" s="81">
        <f>'CA Informe'!U14</f>
        <v>5883.7408910120012</v>
      </c>
      <c r="H11" s="81">
        <f>'CA Informe'!T14</f>
        <v>5812.5919032410011</v>
      </c>
      <c r="I11" s="82">
        <f>+H11/G11-1</f>
        <v>-1.209247468386776E-2</v>
      </c>
    </row>
    <row r="12" spans="2:13">
      <c r="B12" s="252"/>
      <c r="C12" s="256"/>
      <c r="D12" s="254"/>
      <c r="E12" s="254"/>
      <c r="F12" s="80" t="str">
        <f>+'1'!A15</f>
        <v>Contribuciones sociales</v>
      </c>
      <c r="G12" s="81">
        <f>'CA Informe'!U17</f>
        <v>550.61952995699994</v>
      </c>
      <c r="H12" s="81">
        <f>'CA Informe'!T17</f>
        <v>578.37900628800003</v>
      </c>
      <c r="I12" s="82">
        <f>+H12/G12-1</f>
        <v>5.0414986793454242E-2</v>
      </c>
    </row>
    <row r="13" spans="2:13" ht="15" customHeight="1">
      <c r="B13" s="258"/>
      <c r="C13" s="257" t="s">
        <v>209</v>
      </c>
      <c r="D13" s="259">
        <f>'CA Informe'!T10*100</f>
        <v>-0.34637245203013128</v>
      </c>
      <c r="E13" s="255">
        <f>'CA Informe'!T12*100</f>
        <v>-0.74303572996741274</v>
      </c>
      <c r="F13" s="83" t="str">
        <f>+'1'!A17</f>
        <v>Donaciones</v>
      </c>
      <c r="G13" s="84">
        <f>'CA Informe'!U18</f>
        <v>249.80122824</v>
      </c>
      <c r="H13" s="84">
        <f>'CA Informe'!T18</f>
        <v>242.19039053400002</v>
      </c>
      <c r="I13" s="85">
        <f>+H13/G13-1</f>
        <v>-3.0467575198180219E-2</v>
      </c>
    </row>
    <row r="14" spans="2:13">
      <c r="B14" s="258"/>
      <c r="C14" s="257"/>
      <c r="D14" s="259"/>
      <c r="E14" s="255"/>
      <c r="F14" s="86" t="str">
        <f>+'1'!A27</f>
        <v>Otros ingresos</v>
      </c>
      <c r="G14" s="87">
        <f>'CA Informe'!U19</f>
        <v>1292.5740451939998</v>
      </c>
      <c r="H14" s="215">
        <f>'CA Informe'!T19</f>
        <v>935.11652113900004</v>
      </c>
      <c r="I14" s="88">
        <f>+H14/G14-1</f>
        <v>-0.27654703835659156</v>
      </c>
    </row>
    <row r="15" spans="2:13">
      <c r="B15" s="258"/>
      <c r="C15" s="257"/>
      <c r="D15" s="259"/>
      <c r="E15" s="255"/>
      <c r="F15" s="89" t="s">
        <v>139</v>
      </c>
    </row>
    <row r="16" spans="2:13" ht="14.25" customHeight="1">
      <c r="B16" s="252"/>
      <c r="C16" s="256" t="s">
        <v>216</v>
      </c>
      <c r="D16" s="254"/>
      <c r="E16" s="254"/>
    </row>
    <row r="17" spans="2:14" ht="14.25" customHeight="1">
      <c r="B17" s="252"/>
      <c r="C17" s="256"/>
      <c r="D17" s="254"/>
      <c r="E17" s="254"/>
    </row>
    <row r="18" spans="2:14" ht="14.25" customHeight="1">
      <c r="B18" s="252"/>
      <c r="C18" s="256"/>
      <c r="D18" s="254"/>
      <c r="E18" s="254"/>
    </row>
    <row r="19" spans="2:14" ht="14.25" customHeight="1">
      <c r="B19" s="258"/>
      <c r="C19" s="257" t="s">
        <v>209</v>
      </c>
      <c r="D19" s="255"/>
      <c r="E19" s="255"/>
    </row>
    <row r="20" spans="2:14" ht="14.25" customHeight="1">
      <c r="B20" s="258"/>
      <c r="C20" s="257"/>
      <c r="D20" s="255"/>
      <c r="E20" s="255"/>
    </row>
    <row r="21" spans="2:14" ht="14.25" customHeight="1">
      <c r="B21" s="258"/>
      <c r="C21" s="257"/>
      <c r="D21" s="255"/>
      <c r="E21" s="255"/>
    </row>
    <row r="22" spans="2:14" ht="14.25" customHeight="1">
      <c r="B22" s="252"/>
      <c r="C22" s="256" t="s">
        <v>216</v>
      </c>
      <c r="D22" s="254">
        <f>'CA Informe'!T4</f>
        <v>-316.49217569703728</v>
      </c>
      <c r="E22" s="254">
        <f>'CA Informe'!T6</f>
        <v>-1183.3178138113217</v>
      </c>
    </row>
    <row r="23" spans="2:14" ht="14.25" customHeight="1">
      <c r="B23" s="252"/>
      <c r="C23" s="256"/>
      <c r="D23" s="254"/>
      <c r="E23" s="254"/>
    </row>
    <row r="24" spans="2:14" ht="14.25" customHeight="1">
      <c r="B24" s="252"/>
      <c r="C24" s="256"/>
      <c r="D24" s="254"/>
      <c r="E24" s="254"/>
    </row>
    <row r="25" spans="2:14" ht="14.25" customHeight="1">
      <c r="B25" s="253"/>
      <c r="C25" s="257" t="s">
        <v>209</v>
      </c>
      <c r="D25" s="255">
        <f>'CA Informe'!T5*100</f>
        <v>-0.51963327305311036</v>
      </c>
      <c r="E25" s="255">
        <f>'CA Informe'!T7*100</f>
        <v>-2.0341005939936534</v>
      </c>
    </row>
    <row r="26" spans="2:14" ht="14.25" customHeight="1">
      <c r="B26" s="253"/>
      <c r="C26" s="257"/>
      <c r="D26" s="255"/>
      <c r="E26" s="255"/>
    </row>
    <row r="27" spans="2:14" ht="14.25" customHeight="1">
      <c r="B27" s="253"/>
      <c r="C27" s="257"/>
      <c r="D27" s="255"/>
      <c r="E27" s="255"/>
    </row>
    <row r="31" spans="2:14" ht="14.5" thickBot="1">
      <c r="C31" s="224" t="str">
        <f>Aux!W6</f>
        <v>ene-feb 2025</v>
      </c>
      <c r="D31" s="224" t="str">
        <f>Aux!W5</f>
        <v>ene-feb 2026</v>
      </c>
      <c r="E31" s="90" t="s">
        <v>138</v>
      </c>
    </row>
    <row r="32" spans="2:14" ht="14.5" thickBot="1">
      <c r="B32" s="91" t="s">
        <v>140</v>
      </c>
      <c r="C32" s="91">
        <f>'CA Informe'!U20</f>
        <v>8058.686425191001</v>
      </c>
      <c r="D32" s="91">
        <f>'CA Informe'!T20</f>
        <v>8955.1439406440004</v>
      </c>
      <c r="E32" s="92">
        <f>+D32/C32-1</f>
        <v>0.11124114628045634</v>
      </c>
      <c r="N32" s="169"/>
    </row>
    <row r="33" spans="2:15">
      <c r="B33" s="94" t="str">
        <f>+'1'!A37</f>
        <v>Remuneración a los empleados</v>
      </c>
      <c r="C33" s="95">
        <f>'CA Informe'!U21</f>
        <v>3502.7172934540004</v>
      </c>
      <c r="D33" s="95">
        <f>'CA Informe'!T21</f>
        <v>3817.1137416030001</v>
      </c>
      <c r="E33" s="96">
        <f t="shared" ref="E33:E38" si="0">+D33/C33-1</f>
        <v>8.9757871335078843E-2</v>
      </c>
      <c r="F33" s="93"/>
    </row>
    <row r="34" spans="2:15">
      <c r="B34" s="84" t="str">
        <f>+'1'!A38</f>
        <v>Uso de bienes y servicios</v>
      </c>
      <c r="C34" s="223">
        <f>'CA Informe'!U22</f>
        <v>1015.179560712</v>
      </c>
      <c r="D34" s="84">
        <f>'CA Informe'!T22</f>
        <v>816.8573796500001</v>
      </c>
      <c r="E34" s="85">
        <f t="shared" si="0"/>
        <v>-0.19535675139371989</v>
      </c>
      <c r="F34" s="85"/>
    </row>
    <row r="35" spans="2:15">
      <c r="B35" s="84" t="str">
        <f>+'1'!A43</f>
        <v>Intereses</v>
      </c>
      <c r="C35" s="84">
        <f>'CA Informe'!U23</f>
        <v>923.02490249100003</v>
      </c>
      <c r="D35" s="84">
        <f>'CA Informe'!T23</f>
        <v>1251.662839757</v>
      </c>
      <c r="E35" s="85">
        <f t="shared" si="0"/>
        <v>0.35604449715180286</v>
      </c>
      <c r="F35" s="85"/>
      <c r="L35" s="169"/>
      <c r="M35" s="169"/>
    </row>
    <row r="36" spans="2:15" ht="19.149999999999999" customHeight="1">
      <c r="B36" s="84" t="str">
        <f>+'1'!A47</f>
        <v>Donaciones</v>
      </c>
      <c r="C36" s="84">
        <f>'CA Informe'!U24</f>
        <v>759.67566695499988</v>
      </c>
      <c r="D36" s="84">
        <f>'CA Informe'!T24</f>
        <v>973.17231305299993</v>
      </c>
      <c r="E36" s="85">
        <f t="shared" si="0"/>
        <v>0.28103657308619145</v>
      </c>
      <c r="F36" s="85"/>
      <c r="M36" s="169"/>
    </row>
    <row r="37" spans="2:15">
      <c r="B37" s="84" t="str">
        <f>+'1'!A57</f>
        <v>Prestaciones sociales</v>
      </c>
      <c r="C37" s="84">
        <f>'CA Informe'!U25</f>
        <v>1680.8681596179999</v>
      </c>
      <c r="D37" s="84">
        <f>'CA Informe'!T25</f>
        <v>1915.691039409</v>
      </c>
      <c r="E37" s="85">
        <f t="shared" si="0"/>
        <v>0.1397033303577877</v>
      </c>
      <c r="F37" s="85"/>
      <c r="L37" s="169"/>
      <c r="M37" s="169"/>
      <c r="N37" s="169"/>
    </row>
    <row r="38" spans="2:15">
      <c r="B38" s="97" t="str">
        <f>+'1'!A61</f>
        <v>Otros gastos</v>
      </c>
      <c r="C38" s="97">
        <f>'CA Informe'!U26</f>
        <v>177.22084196100002</v>
      </c>
      <c r="D38" s="97">
        <f>'CA Informe'!T26</f>
        <v>180.64662717199997</v>
      </c>
      <c r="E38" s="98">
        <f t="shared" si="0"/>
        <v>1.9330600019120903E-2</v>
      </c>
      <c r="F38" s="85"/>
      <c r="M38" s="169"/>
      <c r="N38" s="169"/>
    </row>
    <row r="39" spans="2:15">
      <c r="B39" s="99" t="s">
        <v>141</v>
      </c>
      <c r="F39" s="85"/>
      <c r="M39" s="169"/>
      <c r="N39" s="169"/>
    </row>
    <row r="40" spans="2:15" ht="15">
      <c r="F40" s="75"/>
      <c r="H40" s="179"/>
      <c r="I40" s="180"/>
      <c r="M40" s="169"/>
      <c r="N40" s="169"/>
    </row>
    <row r="41" spans="2:15" ht="15">
      <c r="H41" s="179"/>
      <c r="I41" s="180"/>
      <c r="M41" s="169"/>
      <c r="N41" s="169"/>
      <c r="O41" s="169"/>
    </row>
    <row r="42" spans="2:15" ht="15">
      <c r="H42" s="179"/>
      <c r="I42" s="180"/>
      <c r="L42" s="169"/>
      <c r="M42" s="169"/>
      <c r="N42" s="169"/>
    </row>
    <row r="43" spans="2:15" ht="15">
      <c r="H43" s="181"/>
      <c r="I43" s="180"/>
      <c r="M43" s="169"/>
      <c r="N43" s="169"/>
    </row>
    <row r="44" spans="2:15" ht="15">
      <c r="H44" s="179"/>
      <c r="I44" s="180"/>
      <c r="M44" s="169"/>
      <c r="N44" s="169"/>
    </row>
    <row r="45" spans="2:15">
      <c r="M45" s="169"/>
      <c r="N45" s="169"/>
    </row>
    <row r="46" spans="2:15">
      <c r="M46" s="169"/>
      <c r="N46" s="169"/>
    </row>
    <row r="48" spans="2:15">
      <c r="M48" s="169"/>
    </row>
    <row r="49" spans="8:14">
      <c r="M49" s="169"/>
      <c r="N49" s="169"/>
    </row>
    <row r="54" spans="8:14">
      <c r="J54" s="178"/>
    </row>
    <row r="55" spans="8:14">
      <c r="J55" s="178"/>
    </row>
    <row r="56" spans="8:14">
      <c r="J56" s="178"/>
    </row>
    <row r="57" spans="8:14">
      <c r="J57" s="178"/>
    </row>
    <row r="58" spans="8:14">
      <c r="J58" s="178"/>
    </row>
    <row r="59" spans="8:14" ht="15">
      <c r="H59" s="177"/>
      <c r="I59" s="177"/>
      <c r="J59" s="178"/>
    </row>
    <row r="60" spans="8:14" ht="15">
      <c r="H60" s="177"/>
      <c r="I60" s="177"/>
      <c r="J60" s="178"/>
    </row>
    <row r="61" spans="8:14" ht="15">
      <c r="H61" s="177"/>
      <c r="I61" s="177"/>
      <c r="J61" s="178"/>
    </row>
    <row r="62" spans="8:14" ht="15">
      <c r="H62" s="177"/>
      <c r="I62" s="177"/>
      <c r="J62" s="178"/>
    </row>
    <row r="63" spans="8:14" ht="15">
      <c r="H63" s="177"/>
      <c r="I63" s="177"/>
      <c r="J63" s="178"/>
    </row>
    <row r="64" spans="8:14" ht="15">
      <c r="H64" s="177"/>
      <c r="I64" s="177"/>
      <c r="J64" s="178"/>
    </row>
    <row r="65" spans="8:10" ht="15">
      <c r="H65" s="177"/>
      <c r="I65" s="177"/>
      <c r="J65" s="178"/>
    </row>
    <row r="66" spans="8:10" ht="15">
      <c r="H66" s="177"/>
      <c r="I66" s="177"/>
      <c r="J66" s="178"/>
    </row>
    <row r="67" spans="8:10" ht="15">
      <c r="H67" s="177"/>
      <c r="I67" s="177"/>
      <c r="J67" s="178"/>
    </row>
    <row r="68" spans="8:10" ht="14.5">
      <c r="H68" s="176"/>
      <c r="I68" s="176"/>
    </row>
    <row r="69" spans="8:10" ht="14.5">
      <c r="H69" s="176"/>
      <c r="I69" s="176"/>
    </row>
  </sheetData>
  <mergeCells count="26">
    <mergeCell ref="B5:J5"/>
    <mergeCell ref="B6:J6"/>
    <mergeCell ref="C10:C12"/>
    <mergeCell ref="C13:C15"/>
    <mergeCell ref="D10:D12"/>
    <mergeCell ref="E10:E12"/>
    <mergeCell ref="D13:D15"/>
    <mergeCell ref="E13:E15"/>
    <mergeCell ref="B10:B12"/>
    <mergeCell ref="B13:B15"/>
    <mergeCell ref="B22:B24"/>
    <mergeCell ref="B25:B27"/>
    <mergeCell ref="D16:D18"/>
    <mergeCell ref="E16:E18"/>
    <mergeCell ref="D19:D21"/>
    <mergeCell ref="E19:E21"/>
    <mergeCell ref="D22:D24"/>
    <mergeCell ref="E22:E24"/>
    <mergeCell ref="C16:C18"/>
    <mergeCell ref="C19:C21"/>
    <mergeCell ref="C22:C24"/>
    <mergeCell ref="C25:C27"/>
    <mergeCell ref="D25:D27"/>
    <mergeCell ref="E25:E27"/>
    <mergeCell ref="B16:B18"/>
    <mergeCell ref="B19:B21"/>
  </mergeCells>
  <hyperlinks>
    <hyperlink ref="L2" location="'1'!A1" display="SITUFIN Acumulado" xr:uid="{78529BFE-01B8-4F24-9B20-1E6A583CD4B8}"/>
    <hyperlink ref="L3" location="'2'!A1" display="SITUFIN por mes" xr:uid="{FC33B73F-6EDE-4E50-8439-646BB08E4F4B}"/>
  </hyperlink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9DE93DF6-EED4-443F-BEFB-DF5CA26D3E86}">
  <ds:schemaRefs/>
</ds:datastoreItem>
</file>

<file path=customXml/itemProps2.xml><?xml version="1.0" encoding="utf-8"?>
<ds:datastoreItem xmlns:ds="http://schemas.openxmlformats.org/officeDocument/2006/customXml" ds:itemID="{3E711774-95B6-4A82-984E-8287B4BFC2D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Informe</vt:lpstr>
      <vt:lpstr>1</vt:lpstr>
      <vt:lpstr>2</vt:lpstr>
      <vt:lpstr>CA Informe</vt:lpstr>
      <vt:lpstr>Situfin serie mensual</vt:lpstr>
      <vt:lpstr>Aux</vt:lpstr>
      <vt:lpstr>Informe (2)</vt:lpstr>
      <vt:lpstr>Informe (3)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Mario Vera</cp:lastModifiedBy>
  <dcterms:created xsi:type="dcterms:W3CDTF">2020-10-13T14:35:46Z</dcterms:created>
  <dcterms:modified xsi:type="dcterms:W3CDTF">2026-03-18T13:47:31Z</dcterms:modified>
</cp:coreProperties>
</file>